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structions" state="visible" r:id="rId4"/>
    <sheet sheetId="2" name="Startup Costs" state="visible" r:id="rId5"/>
    <sheet sheetId="3" name="Overhead" state="visible" r:id="rId6"/>
    <sheet sheetId="4" name="Pricing and Capacity" state="visible" r:id="rId7"/>
    <sheet sheetId="5" name="12-Month Profit and Loss" state="visible" r:id="rId8"/>
    <sheet sheetId="6" name="Dashboard" state="visible" r:id="rId9"/>
  </sheets>
  <calcPr calcId="171027" fullCalcOnLoad="1"/>
</workbook>
</file>

<file path=xl/sharedStrings.xml><?xml version="1.0" encoding="utf-8"?>
<sst xmlns="http://schemas.openxmlformats.org/spreadsheetml/2006/main" count="178" uniqueCount="158">
  <si>
    <t>HVAC Business Plan Template</t>
  </si>
  <si>
    <t>Purpose</t>
  </si>
  <si>
    <t>This workbook turns the numbers behind a new or small HVAC company into a first-year plan. List what it costs to open and what it costs each month to stay open, set your technicians, hours, job length, average ticket, wages, owner cash and any loan, and it builds a 12-month profit and loss and a separate cash forecast. The Dashboard shows the jobs per month that cover your monthly cash costs, the first profitable month, the first cash-positive month and the lowest cash balance. Every sample figure is a placeholder: replace each one with your own quotes and prices.</t>
  </si>
  <si>
    <t>Clean-room disclosure</t>
  </si>
  <si>
    <t>Clean-room disclosure: every formula, layout, instruction and sample figure in this workbook was authored from scratch for Field Service Software IO. No vendor workbook, gated template, branding or sample dataset was downloaded, inspected, mirrored, transformed or adapted in building this file. All items and figures are illustrative placeholders, not market data.</t>
  </si>
  <si>
    <t>What’s in this workbook</t>
  </si>
  <si>
    <t>Startup Costs</t>
  </si>
  <si>
    <t>One row per item you need before the first job: item, category (from the list) and cost. A Row check flags a missing item, a category outside the list, or a cost that is blank or outside 0 to 10,000,000. The total and a by-category table sit to the right.</t>
  </si>
  <si>
    <t>Overhead</t>
  </si>
  <si>
    <t>Monthly fixed costs: item and monthly cost (0 to 1,000,000), with a Row check and the monthly total.</t>
  </si>
  <si>
    <t>Pricing and Capacity</t>
  </si>
  <si>
    <t>The settings that drive the plan: technicians, billable and paid hours, hours per job, average ticket, materials share, wage, owner draw, owner cash and the loan. Each has a Check cell. Billable hours may not exceed paid hours.</t>
  </si>
  <si>
    <t>12-Month Profit and Loss</t>
  </si>
  <si>
    <t>Months 1 to 12. You set the share of full capacity each month; the sheet works out jobs, revenue, materials, wages, gross profit, overhead, loan interest and net profit, then the cash forecast: opening cash, loan principal, owner draw, net cash flow and the month-end cash balance.</t>
  </si>
  <si>
    <t>Dashboard</t>
  </si>
  <si>
    <t>Startup costs, opening cash, the monthly loan payment, monthly cash costs, contribution per job, jobs per month to cover cash costs, year-1 revenue and net profit, the first profitable and first cash-positive months, the lowest cash balance, cash at month 12, and the data checks.</t>
  </si>
  <si>
    <t>How to use this workbook</t>
  </si>
  <si>
    <t>1. If your spreadsheet app opens the file read-only, turn on editing first.</t>
  </si>
  <si>
    <t>2. On Startup Costs, replace the sample items with your own quotes. Pick a category for each from the dropdown. Add rows down to row 51.</t>
  </si>
  <si>
    <t>3. On Overhead, list your monthly fixed costs: insurance, fuel, rent, software, phone, marketing, bookkeeping and anything else you pay every month.</t>
  </si>
  <si>
    <t>4. On Pricing and Capacity, enter your technicians, billable hours at full capacity, average hours per job, average ticket, materials share, wage, paid hours, owner draw, owner cash and the loan. Every Check cell should read OK.</t>
  </si>
  <si>
    <t>5. On 12-Month Profit and Loss, set the share of full capacity you expect to reach each month (0% to 100%). The sample ramps up to full capacity by month 8.</t>
  </si>
  <si>
    <t>6. Open Dashboard. If Data check does not read OK, Rows to check tells you how many rows or settings need fixing, and every figure waits until they are fixed.</t>
  </si>
  <si>
    <t>Colour legend</t>
  </si>
  <si>
    <t/>
  </si>
  <si>
    <t>Input — enter or edit your own data here</t>
  </si>
  <si>
    <t>Calculated — formula-driven, please do not overwrite</t>
  </si>
  <si>
    <t>Output — key result for reporting and dashboards</t>
  </si>
  <si>
    <t>Using this workbook in Google Sheets</t>
  </si>
  <si>
    <t>To try the workbook in Google Sheets, open Google Sheets, choose File &gt; Import &gt; Upload, select this .xlsx file and choose Insert new sheet(s). After importing, check that the Dashboard figures match the ones you see in the original file before relying on them.</t>
  </si>
  <si>
    <t>Limitations</t>
  </si>
  <si>
    <t>This is a planning model, not accounting software or financial advice. It does not handle taxes, seasonality beyond the monthly capacity you set, payment terms (it treats revenue as cash in the month of the job), equipment financing other than one loan, or depreciation. Technician wages are paid for every paid hour whether or not the work is booked. Startup Costs and Overhead hold rows 3 to 51.</t>
  </si>
  <si>
    <t>Free template from Field Service Software IO: browse more free field service templates →</t>
  </si>
  <si>
    <t>Startup costs (sample figures are placeholders: replace with your own quotes)</t>
  </si>
  <si>
    <t>Item</t>
  </si>
  <si>
    <t>Category</t>
  </si>
  <si>
    <t>Cost</t>
  </si>
  <si>
    <t>Row check</t>
  </si>
  <si>
    <t>Total</t>
  </si>
  <si>
    <t>Service van (used) and shelving</t>
  </si>
  <si>
    <t>Vehicle</t>
  </si>
  <si>
    <t>Hand and power tools</t>
  </si>
  <si>
    <t>Tools</t>
  </si>
  <si>
    <t>Recovery machine, gauges and vacuum pump</t>
  </si>
  <si>
    <t>Licensing &amp; insurance</t>
  </si>
  <si>
    <t>Licensing, permits and bonding</t>
  </si>
  <si>
    <t>Software</t>
  </si>
  <si>
    <t>First-year insurance deposit</t>
  </si>
  <si>
    <t>Marketing</t>
  </si>
  <si>
    <t>Field service software setup</t>
  </si>
  <si>
    <t>Inventory</t>
  </si>
  <si>
    <t>Website, logo and vehicle wrap</t>
  </si>
  <si>
    <t>Other</t>
  </si>
  <si>
    <t>Opening parts stock</t>
  </si>
  <si>
    <t>Total startup costs</t>
  </si>
  <si>
    <t>Monthly overhead (sample figures are placeholders)</t>
  </si>
  <si>
    <t>Monthly cost</t>
  </si>
  <si>
    <t>Monthly overhead total</t>
  </si>
  <si>
    <t>Insurance</t>
  </si>
  <si>
    <t>Fuel and vehicle upkeep</t>
  </si>
  <si>
    <t>Software subscriptions</t>
  </si>
  <si>
    <t>Phone and internet</t>
  </si>
  <si>
    <t>Shop rent</t>
  </si>
  <si>
    <t>Accounting and bookkeeping</t>
  </si>
  <si>
    <t>Office supplies and other</t>
  </si>
  <si>
    <t>Pricing and capacity</t>
  </si>
  <si>
    <t>Sample figures are placeholders. Enter your own. Each Check reads OK or Check inputs; a blank, text or out-of-range value is never treated as 0.</t>
  </si>
  <si>
    <t>Input</t>
  </si>
  <si>
    <t>Value</t>
  </si>
  <si>
    <t>Check</t>
  </si>
  <si>
    <t>Allowed</t>
  </si>
  <si>
    <t>Technicians</t>
  </si>
  <si>
    <t>Whole number, 0 to 50</t>
  </si>
  <si>
    <t>Billable hours per tech per month (full capacity)</t>
  </si>
  <si>
    <t>0 to 400, and no more than paid hours</t>
  </si>
  <si>
    <t>Average hours per job</t>
  </si>
  <si>
    <t>0.25 to 40</t>
  </si>
  <si>
    <t>Average ticket</t>
  </si>
  <si>
    <t>0 to 100,000</t>
  </si>
  <si>
    <t>Materials and parts (share of revenue)</t>
  </si>
  <si>
    <t>0% to 100%</t>
  </si>
  <si>
    <t>Tech wage per hour</t>
  </si>
  <si>
    <t>0 to 1,000</t>
  </si>
  <si>
    <t>Paid hours per tech per month</t>
  </si>
  <si>
    <t>0 to 400</t>
  </si>
  <si>
    <t>Owner draw per month</t>
  </si>
  <si>
    <t>0 to 1,000,000</t>
  </si>
  <si>
    <t>Owner cash put in</t>
  </si>
  <si>
    <t>0 to 100,000,000</t>
  </si>
  <si>
    <t>Loan amount</t>
  </si>
  <si>
    <t>0 to 100,000,000 (0 for no loan)</t>
  </si>
  <si>
    <t>Loan rate per year</t>
  </si>
  <si>
    <t>Loan term in years</t>
  </si>
  <si>
    <t>Whole number, 1 to 30</t>
  </si>
  <si>
    <t>Jobs per tech per month at full capacity</t>
  </si>
  <si>
    <t>Billable hours ÷ hours per job</t>
  </si>
  <si>
    <t>12-month profit and loss, then cash forecast</t>
  </si>
  <si>
    <t>Set the share of full capacity for each month in row 4. Profit charges only loan interest; the cash forecast below also takes off loan principal and the owner draw.</t>
  </si>
  <si>
    <t>Month 1</t>
  </si>
  <si>
    <t>Month 2</t>
  </si>
  <si>
    <t>Month 3</t>
  </si>
  <si>
    <t>Month 4</t>
  </si>
  <si>
    <t>Month 5</t>
  </si>
  <si>
    <t>Month 6</t>
  </si>
  <si>
    <t>Month 7</t>
  </si>
  <si>
    <t>Month 8</t>
  </si>
  <si>
    <t>Month 9</t>
  </si>
  <si>
    <t>Month 10</t>
  </si>
  <si>
    <t>Month 11</t>
  </si>
  <si>
    <t>Month 12</t>
  </si>
  <si>
    <t>Year 1</t>
  </si>
  <si>
    <t>Capacity used (0% to 100%)</t>
  </si>
  <si>
    <t>Capacity check</t>
  </si>
  <si>
    <t>Jobs</t>
  </si>
  <si>
    <t>Revenue</t>
  </si>
  <si>
    <t>Materials and parts</t>
  </si>
  <si>
    <t>Tech wages</t>
  </si>
  <si>
    <t>Gross profit</t>
  </si>
  <si>
    <t>Loan interest</t>
  </si>
  <si>
    <t>Net profit</t>
  </si>
  <si>
    <t>Cash forecast</t>
  </si>
  <si>
    <t>Opening cash</t>
  </si>
  <si>
    <t>Loan principal</t>
  </si>
  <si>
    <t>Owner draw</t>
  </si>
  <si>
    <t>Net cash flow</t>
  </si>
  <si>
    <t>Cash balance (month end)</t>
  </si>
  <si>
    <t>HVAC business plan dashboard</t>
  </si>
  <si>
    <t>Every figure comes from your inputs. While Data check does not read OK, the figures read "Check data" until the rows and settings counted in Rows to check are fixed.</t>
  </si>
  <si>
    <t>Figure</t>
  </si>
  <si>
    <t>Result</t>
  </si>
  <si>
    <t>How it is worked out</t>
  </si>
  <si>
    <t>Startup costs</t>
  </si>
  <si>
    <t>Total on Startup Costs.</t>
  </si>
  <si>
    <t>Owner cash plus the loan, minus startup costs.</t>
  </si>
  <si>
    <t>Monthly loan payment</t>
  </si>
  <si>
    <t>Interest plus principal, the same every month.</t>
  </si>
  <si>
    <t>Monthly cash costs</t>
  </si>
  <si>
    <t>Overhead, tech wages, the loan payment and the owner draw.</t>
  </si>
  <si>
    <t>Contribution per job</t>
  </si>
  <si>
    <t>Average ticket minus materials and parts.</t>
  </si>
  <si>
    <t>Jobs per month to cover cash costs</t>
  </si>
  <si>
    <t>Monthly cash costs divided by contribution per job.</t>
  </si>
  <si>
    <t>Year-1 revenue</t>
  </si>
  <si>
    <t>Revenue across months 1 to 12.</t>
  </si>
  <si>
    <t>Year-1 net profit</t>
  </si>
  <si>
    <t>Net profit across months 1 to 12 (charges loan interest only).</t>
  </si>
  <si>
    <t>First profitable month</t>
  </si>
  <si>
    <t>First month with net profit of 0 or more.</t>
  </si>
  <si>
    <t>First cash-positive month</t>
  </si>
  <si>
    <t>First month with net cash flow of 0 or more.</t>
  </si>
  <si>
    <t>Lowest cash balance</t>
  </si>
  <si>
    <t>Lowest of opening cash and the twelve month-end balances.</t>
  </si>
  <si>
    <t>Cash at month 12</t>
  </si>
  <si>
    <t>Month-end cash balance in month 12.</t>
  </si>
  <si>
    <t>Rows to check</t>
  </si>
  <si>
    <t>Row checks, Pricing and Capacity checks and capacity checks that are not OK.</t>
  </si>
  <si>
    <t>Data check</t>
  </si>
  <si>
    <t>OK only when Rows to check is 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</si>
</sst>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0;-$#,##0"/>
    <numFmt numFmtId="165" formatCode="0.0"/>
    <numFmt numFmtId="166" formatCode="$#,##0.00"/>
    <numFmt numFmtId="167" formatCode="0.0%"/>
    <numFmt numFmtId="168" formatCode="$#,##0"/>
    <numFmt numFmtId="169" formatCode="$#,##0.00;-$#,##0.00"/>
    <numFmt numFmtId="170" formatCode="#,##0.0"/>
  </numFmts>
  <fonts count="10" x14ac:knownFonts="1">
    <font>
      <color theme="1"/>
      <family val="2"/>
      <scheme val="minor"/>
      <sz val="11"/>
      <name val="Calibri"/>
    </font>
    <font>
      <b/>
      <sz val="16"/>
    </font>
    <font>
      <b/>
      <sz val="12"/>
    </font>
    <font>
      <i/>
    </font>
    <font>
      <b/>
    </font>
    <font>
      <b/>
      <u/>
      <color rgb="FF1155CC"/>
      <sz val="13"/>
    </font>
    <font>
      <b/>
      <sz val="14"/>
    </font>
    <font>
      <b/>
      <color rgb="FFFFFFFF"/>
    </font>
    <font/>
    <font>
      <b/>
      <u/>
      <color rgb="FF1155CC"/>
      <sz val="12"/>
    </font>
  </fonts>
  <fills count="6">
    <fill>
      <patternFill patternType="none"/>
    </fill>
    <fill>
      <patternFill patternType="gray125"/>
    </fill>
    <fill>
      <patternFill patternType="solid">
        <fgColor rgb="FFDCE6F1"/>
      </patternFill>
    </fill>
    <fill>
      <patternFill patternType="solid">
        <fgColor rgb="FFFFF2CC"/>
      </patternFill>
    </fill>
    <fill>
      <patternFill patternType="solid">
        <fgColor rgb="FFD9EAD3"/>
      </patternFill>
    </fill>
    <fill>
      <patternFill patternType="solid">
        <fgColor rgb="FF44546A"/>
      </patternFill>
    </fill>
  </fills>
  <borders count="2">
    <border>
      <left/>
      <right/>
      <top/>
      <bottom/>
      <diagonal/>
    </border>
    <border>
      <left style="thin">
        <color rgb="FFB7B7B7"/>
      </left>
      <right style="thin">
        <color rgb="FFB7B7B7"/>
      </right>
      <top style="thin">
        <color rgb="FFB7B7B7"/>
      </top>
      <bottom style="thin">
        <color rgb="FFB7B7B7"/>
      </bottom>
      <diagonal/>
    </border>
  </borders>
  <cellStyleXfs count="1">
    <xf numFmtId="0" fontId="0" fillId="0" borderId="0"/>
  </cellStyleXfs>
  <cellXfs count="46">
    <xf numFmtId="0" fontId="0" fillId="0" borderId="0" xfId="0"/>
    <xf numFmtId="0" fontId="1" fillId="0" borderId="0" xfId="0" applyFont="1" applyAlignment="1">
      <alignment vertical="top" wrapText="1"/>
    </xf>
    <xf numFmtId="0" fontId="0" fillId="0" borderId="0" xfId="0" applyAlignment="1">
      <alignment vertical="top" wrapText="1"/>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0" fillId="2" borderId="1" xfId="0" applyFill="1" applyBorder="1" applyAlignment="1">
      <alignment vertical="top" wrapText="1"/>
    </xf>
    <xf numFmtId="0" fontId="0" fillId="0" borderId="0" xfId="0" applyAlignment="1">
      <alignment vertical="center" wrapText="1"/>
    </xf>
    <xf numFmtId="0" fontId="0" fillId="3" borderId="1" xfId="0" applyFill="1" applyBorder="1" applyAlignment="1">
      <alignment vertical="top" wrapText="1"/>
    </xf>
    <xf numFmtId="0" fontId="0" fillId="4" borderId="1" xfId="0" applyFill="1" applyBorder="1" applyAlignment="1">
      <alignment vertical="top" wrapText="1"/>
    </xf>
    <xf numFmtId="0" fontId="5" fillId="4" borderId="0" xfId="0" applyFont="1" applyFill="1" applyAlignment="1">
      <alignment horizontal="center" vertical="center" wrapText="1"/>
    </xf>
    <xf numFmtId="0" fontId="6" fillId="0" borderId="0" xfId="0" applyFont="1"/>
    <xf numFmtId="0" fontId="7" fillId="5" borderId="1" xfId="0" applyFont="1" applyFill="1" applyBorder="1" applyAlignment="1">
      <alignment horizontal="center" vertical="center" wrapText="1"/>
    </xf>
    <xf numFmtId="0" fontId="7" fillId="0" borderId="0" xfId="0" applyFont="1" applyAlignment="1">
      <alignment horizontal="center" vertical="center" wrapText="1"/>
    </xf>
    <xf numFmtId="0" fontId="0" fillId="2" borderId="1" xfId="0" applyFill="1" applyBorder="1" applyAlignment="1">
      <alignment horizontal="left" vertical="center"/>
    </xf>
    <xf numFmtId="164" fontId="0" fillId="2" borderId="1" xfId="0" applyNumberFormat="1" applyFill="1" applyBorder="1" applyAlignment="1">
      <alignment vertical="center"/>
    </xf>
    <xf numFmtId="0" fontId="0" fillId="3" borderId="1" xfId="0" applyFill="1" applyBorder="1" applyAlignment="1">
      <alignment horizontal="center" vertical="center"/>
    </xf>
    <xf numFmtId="0" fontId="0" fillId="3" borderId="1" xfId="0" applyFill="1" applyBorder="1" applyAlignment="1">
      <alignment horizontal="left" vertical="center"/>
    </xf>
    <xf numFmtId="164" fontId="0" fillId="3" borderId="1" xfId="0" applyNumberFormat="1" applyFill="1" applyBorder="1" applyAlignment="1">
      <alignment vertical="center"/>
    </xf>
    <xf numFmtId="0" fontId="4" fillId="4" borderId="1" xfId="0" applyFont="1" applyFill="1" applyBorder="1" applyAlignment="1">
      <alignment vertical="center"/>
    </xf>
    <xf numFmtId="164" fontId="4" fillId="4" borderId="1" xfId="0" applyNumberFormat="1" applyFont="1" applyFill="1" applyBorder="1" applyAlignment="1">
      <alignment vertical="center"/>
    </xf>
    <xf numFmtId="164" fontId="4" fillId="4" borderId="1" xfId="0" applyNumberFormat="1" applyFont="1" applyFill="1" applyBorder="1" applyAlignment="1">
      <alignment horizontal="center" vertical="center"/>
    </xf>
    <xf numFmtId="0" fontId="4" fillId="0" borderId="0" xfId="0" applyFont="1" applyAlignment="1">
      <alignment vertical="center" wrapText="1"/>
    </xf>
    <xf numFmtId="1" fontId="0" fillId="2" borderId="1" xfId="0" applyNumberFormat="1" applyFill="1" applyBorder="1" applyAlignment="1">
      <alignment horizontal="center" vertical="center"/>
    </xf>
    <xf numFmtId="165" fontId="0" fillId="2" borderId="1" xfId="0" applyNumberFormat="1" applyFill="1" applyBorder="1" applyAlignment="1">
      <alignment horizontal="center" vertical="center"/>
    </xf>
    <xf numFmtId="2" fontId="0" fillId="2" borderId="1" xfId="0" applyNumberFormat="1" applyFill="1" applyBorder="1" applyAlignment="1">
      <alignment horizontal="center" vertical="center"/>
    </xf>
    <xf numFmtId="166" fontId="0" fillId="2" borderId="1" xfId="0" applyNumberFormat="1" applyFill="1" applyBorder="1" applyAlignment="1">
      <alignment horizontal="center" vertical="center"/>
    </xf>
    <xf numFmtId="167" fontId="0" fillId="2" borderId="1" xfId="0" applyNumberFormat="1" applyFill="1" applyBorder="1" applyAlignment="1">
      <alignment horizontal="center" vertical="center"/>
    </xf>
    <xf numFmtId="168" fontId="0" fillId="2" borderId="1" xfId="0" applyNumberFormat="1" applyFill="1" applyBorder="1" applyAlignment="1">
      <alignment horizontal="center" vertical="center"/>
    </xf>
    <xf numFmtId="10" fontId="0" fillId="2" borderId="1" xfId="0" applyNumberFormat="1" applyFill="1" applyBorder="1" applyAlignment="1">
      <alignment horizontal="center" vertical="center"/>
    </xf>
    <xf numFmtId="165" fontId="4" fillId="4" borderId="1" xfId="0" applyNumberFormat="1" applyFont="1" applyFill="1" applyBorder="1" applyAlignment="1">
      <alignment horizontal="center" vertical="center"/>
    </xf>
    <xf numFmtId="0" fontId="8" fillId="0" borderId="0" xfId="0" applyFont="1"/>
    <xf numFmtId="9" fontId="0" fillId="2" borderId="1" xfId="0" applyNumberFormat="1" applyFill="1" applyBorder="1" applyAlignment="1">
      <alignment horizontal="center" vertical="center"/>
    </xf>
    <xf numFmtId="3" fontId="0" fillId="3" borderId="1" xfId="0" applyNumberFormat="1" applyFill="1" applyBorder="1" applyAlignment="1">
      <alignment horizontal="center" vertical="center"/>
    </xf>
    <xf numFmtId="3" fontId="4" fillId="4" borderId="1" xfId="0" applyNumberFormat="1" applyFont="1" applyFill="1" applyBorder="1" applyAlignment="1">
      <alignment horizontal="right" vertical="center"/>
    </xf>
    <xf numFmtId="164" fontId="0" fillId="3" borderId="1" xfId="0" applyNumberFormat="1" applyFill="1" applyBorder="1" applyAlignment="1">
      <alignment horizontal="right" vertical="center"/>
    </xf>
    <xf numFmtId="164" fontId="4" fillId="4" borderId="1" xfId="0" applyNumberFormat="1" applyFont="1" applyFill="1" applyBorder="1" applyAlignment="1">
      <alignment horizontal="right" vertical="center"/>
    </xf>
    <xf numFmtId="0" fontId="4" fillId="0" borderId="0" xfId="0" applyFont="1"/>
    <xf numFmtId="0" fontId="2" fillId="0" borderId="0" xfId="0" applyFont="1"/>
    <xf numFmtId="164" fontId="0" fillId="4" borderId="1" xfId="0" applyNumberFormat="1" applyFill="1" applyBorder="1" applyAlignment="1">
      <alignment horizontal="right" vertical="center"/>
    </xf>
    <xf numFmtId="0" fontId="6" fillId="0" borderId="0" xfId="0" applyFont="1" applyAlignment="1">
      <alignment vertical="top" wrapText="1"/>
    </xf>
    <xf numFmtId="169" fontId="4" fillId="4" borderId="1" xfId="0" applyNumberFormat="1" applyFont="1" applyFill="1" applyBorder="1" applyAlignment="1">
      <alignment horizontal="center" vertical="center"/>
    </xf>
    <xf numFmtId="170" fontId="4" fillId="4" borderId="1" xfId="0" applyNumberFormat="1" applyFont="1" applyFill="1" applyBorder="1" applyAlignment="1">
      <alignment horizontal="center" vertical="center"/>
    </xf>
    <xf numFmtId="1" fontId="4" fillId="4" borderId="1" xfId="0" applyNumberFormat="1" applyFont="1" applyFill="1" applyBorder="1" applyAlignment="1">
      <alignment horizontal="center" vertical="center"/>
    </xf>
    <xf numFmtId="0" fontId="4" fillId="4" borderId="1" xfId="0" applyFont="1" applyFill="1" applyBorder="1" applyAlignment="1">
      <alignment horizontal="center" vertical="center"/>
    </xf>
    <xf numFmtId="0" fontId="9" fillId="4" borderId="0" xfId="0" applyFont="1" applyFill="1" applyAlignment="1">
      <alignment horizontal="center" vertical="center" wrapText="1"/>
    </xf>
  </cellXfs>
  <cellStyles count="1">
    <cellStyle name="Normal" xfId="0" builtinId="0"/>
  </cellStyles>
  <dxfs count="8">
    <dxf>
      <font>
        <b/>
        <color rgb="FF9C0006"/>
      </font>
      <fill>
        <patternFill patternType="solid">
          <bgColor rgb="FFF4C7C3"/>
        </patternFill>
      </fill>
    </dxf>
    <dxf>
      <font>
        <b/>
        <color rgb="FF9C0006"/>
      </font>
      <fill>
        <patternFill patternType="solid">
          <bgColor rgb="FFF4C7C3"/>
        </patternFill>
      </fill>
    </dxf>
    <dxf>
      <font>
        <b/>
        <color rgb="FF9C0006"/>
      </font>
      <fill>
        <patternFill patternType="solid">
          <bgColor rgb="FFF4C7C3"/>
        </patternFill>
      </fill>
    </dxf>
    <dxf>
      <font>
        <b/>
        <color rgb="FF9C0006"/>
      </font>
      <fill>
        <patternFill patternType="solid">
          <bgColor rgb="FFF4C7C3"/>
        </patternFill>
      </fill>
    </dxf>
    <dxf>
      <font>
        <color rgb="FF9C0006"/>
      </font>
    </dxf>
    <dxf>
      <font>
        <color rgb="FF9C0006"/>
      </font>
    </dxf>
    <dxf>
      <font>
        <b/>
        <color rgb="FF9C0006"/>
      </font>
      <fill>
        <patternFill patternType="solid">
          <bgColor rgb="FFF4C7C3"/>
        </patternFill>
      </fill>
    </dxf>
    <dxf>
      <font>
        <color rgb="FF9C0006"/>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fieldservicesoftware.io/templates/?utm_source=workbook&amp;utm_medium=in-file-cta&amp;utm_campaign=hvac-business-plan-template"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fieldservicesoftware.io/templates/?utm_source=workbook&amp;utm_medium=in-file-cta&amp;utm_campaign=hvac-business-plan-templat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7"/>
  <sheetViews>
    <sheetView workbookViewId="0" showGridLines="0"/>
  </sheetViews>
  <sheetFormatPr defaultRowHeight="15" outlineLevelRow="0" outlineLevelCol="0" x14ac:dyDescent="55"/>
  <cols>
    <col min="1" max="6" width="22" customWidth="1"/>
  </cols>
  <sheetData>
    <row r="1" spans="1:6" x14ac:dyDescent="0.25">
      <c r="A1" s="1" t="s">
        <v>0</v>
      </c>
      <c r="B1" s="1"/>
      <c r="C1" s="1"/>
      <c r="D1" s="1"/>
      <c r="E1" s="1"/>
      <c r="F1" s="1"/>
    </row>
    <row r="2" spans="1:6" x14ac:dyDescent="0.25">
      <c r="A2" s="2"/>
      <c r="B2" s="2"/>
      <c r="C2" s="2"/>
      <c r="D2" s="2"/>
      <c r="E2" s="2"/>
      <c r="F2" s="2"/>
    </row>
    <row r="3" spans="1:6" x14ac:dyDescent="0.25">
      <c r="A3" s="3" t="s">
        <v>1</v>
      </c>
      <c r="B3" s="3"/>
      <c r="C3" s="3"/>
      <c r="D3" s="3"/>
      <c r="E3" s="3"/>
      <c r="F3" s="3"/>
    </row>
    <row r="4" ht="75" customHeight="1" spans="1:6" x14ac:dyDescent="0.25">
      <c r="A4" s="2" t="s">
        <v>2</v>
      </c>
      <c r="B4" s="2"/>
      <c r="C4" s="2"/>
      <c r="D4" s="2"/>
      <c r="E4" s="2"/>
      <c r="F4" s="2"/>
    </row>
    <row r="5" spans="1:6" x14ac:dyDescent="0.25">
      <c r="A5" s="2"/>
      <c r="B5" s="2"/>
      <c r="C5" s="2"/>
      <c r="D5" s="2"/>
      <c r="E5" s="2"/>
      <c r="F5" s="2"/>
    </row>
    <row r="6" spans="1:6" x14ac:dyDescent="0.25">
      <c r="A6" s="3" t="s">
        <v>3</v>
      </c>
      <c r="B6" s="3"/>
      <c r="C6" s="3"/>
      <c r="D6" s="3"/>
      <c r="E6" s="3"/>
      <c r="F6" s="3"/>
    </row>
    <row r="7" ht="45" customHeight="1" spans="1:6" x14ac:dyDescent="0.25">
      <c r="A7" s="4" t="s">
        <v>4</v>
      </c>
      <c r="B7" s="4"/>
      <c r="C7" s="4"/>
      <c r="D7" s="4"/>
      <c r="E7" s="4"/>
      <c r="F7" s="4"/>
    </row>
    <row r="8" spans="1:6" x14ac:dyDescent="0.25">
      <c r="A8" s="2"/>
      <c r="B8" s="2"/>
      <c r="C8" s="2"/>
      <c r="D8" s="2"/>
      <c r="E8" s="2"/>
      <c r="F8" s="2"/>
    </row>
    <row r="9" spans="1:6" x14ac:dyDescent="0.25">
      <c r="A9" s="3" t="s">
        <v>5</v>
      </c>
      <c r="B9" s="3"/>
      <c r="C9" s="3"/>
      <c r="D9" s="3"/>
      <c r="E9" s="3"/>
      <c r="F9" s="3"/>
    </row>
    <row r="10" ht="45" customHeight="1" spans="1:6" x14ac:dyDescent="0.25">
      <c r="A10" s="5" t="s">
        <v>6</v>
      </c>
      <c r="B10" s="5"/>
      <c r="C10" s="2" t="s">
        <v>7</v>
      </c>
      <c r="D10" s="2"/>
      <c r="E10" s="2"/>
      <c r="F10" s="2"/>
    </row>
    <row r="11" ht="30" customHeight="1" spans="1:6" x14ac:dyDescent="0.25">
      <c r="A11" s="5" t="s">
        <v>8</v>
      </c>
      <c r="B11" s="5"/>
      <c r="C11" s="2" t="s">
        <v>9</v>
      </c>
      <c r="D11" s="2"/>
      <c r="E11" s="2"/>
      <c r="F11" s="2"/>
    </row>
    <row r="12" ht="45" customHeight="1" spans="1:6" x14ac:dyDescent="0.25">
      <c r="A12" s="5" t="s">
        <v>10</v>
      </c>
      <c r="B12" s="5"/>
      <c r="C12" s="2" t="s">
        <v>11</v>
      </c>
      <c r="D12" s="2"/>
      <c r="E12" s="2"/>
      <c r="F12" s="2"/>
    </row>
    <row r="13" ht="45" customHeight="1" spans="1:6" x14ac:dyDescent="0.25">
      <c r="A13" s="5" t="s">
        <v>12</v>
      </c>
      <c r="B13" s="5"/>
      <c r="C13" s="2" t="s">
        <v>13</v>
      </c>
      <c r="D13" s="2"/>
      <c r="E13" s="2"/>
      <c r="F13" s="2"/>
    </row>
    <row r="14" ht="45" customHeight="1" spans="1:6" x14ac:dyDescent="0.25">
      <c r="A14" s="5" t="s">
        <v>14</v>
      </c>
      <c r="B14" s="5"/>
      <c r="C14" s="2" t="s">
        <v>15</v>
      </c>
      <c r="D14" s="2"/>
      <c r="E14" s="2"/>
      <c r="F14" s="2"/>
    </row>
    <row r="15" spans="1:6" x14ac:dyDescent="0.25">
      <c r="A15" s="2"/>
      <c r="B15" s="2"/>
      <c r="C15" s="2"/>
      <c r="D15" s="2"/>
      <c r="E15" s="2"/>
      <c r="F15" s="2"/>
    </row>
    <row r="16" spans="1:6" x14ac:dyDescent="0.25">
      <c r="A16" s="3" t="s">
        <v>16</v>
      </c>
      <c r="B16" s="3"/>
      <c r="C16" s="3"/>
      <c r="D16" s="3"/>
      <c r="E16" s="3"/>
      <c r="F16" s="3"/>
    </row>
    <row r="17" ht="30" customHeight="1" spans="1:6" x14ac:dyDescent="0.25">
      <c r="A17" s="2" t="s">
        <v>17</v>
      </c>
      <c r="B17" s="2"/>
      <c r="C17" s="2"/>
      <c r="D17" s="2"/>
      <c r="E17" s="2"/>
      <c r="F17" s="2"/>
    </row>
    <row r="18" ht="30" customHeight="1" spans="1:6" x14ac:dyDescent="0.25">
      <c r="A18" s="2" t="s">
        <v>18</v>
      </c>
      <c r="B18" s="2"/>
      <c r="C18" s="2"/>
      <c r="D18" s="2"/>
      <c r="E18" s="2"/>
      <c r="F18" s="2"/>
    </row>
    <row r="19" ht="30" customHeight="1" spans="1:6" x14ac:dyDescent="0.25">
      <c r="A19" s="2" t="s">
        <v>19</v>
      </c>
      <c r="B19" s="2"/>
      <c r="C19" s="2"/>
      <c r="D19" s="2"/>
      <c r="E19" s="2"/>
      <c r="F19" s="2"/>
    </row>
    <row r="20" ht="30" customHeight="1" spans="1:6" x14ac:dyDescent="0.25">
      <c r="A20" s="2" t="s">
        <v>20</v>
      </c>
      <c r="B20" s="2"/>
      <c r="C20" s="2"/>
      <c r="D20" s="2"/>
      <c r="E20" s="2"/>
      <c r="F20" s="2"/>
    </row>
    <row r="21" ht="30" customHeight="1" spans="1:6" x14ac:dyDescent="0.25">
      <c r="A21" s="2" t="s">
        <v>21</v>
      </c>
      <c r="B21" s="2"/>
      <c r="C21" s="2"/>
      <c r="D21" s="2"/>
      <c r="E21" s="2"/>
      <c r="F21" s="2"/>
    </row>
    <row r="22" ht="30" customHeight="1" spans="1:6" x14ac:dyDescent="0.25">
      <c r="A22" s="2" t="s">
        <v>22</v>
      </c>
      <c r="B22" s="2"/>
      <c r="C22" s="2"/>
      <c r="D22" s="2"/>
      <c r="E22" s="2"/>
      <c r="F22" s="2"/>
    </row>
    <row r="23" spans="1:6" x14ac:dyDescent="0.25">
      <c r="A23" s="2"/>
      <c r="B23" s="2"/>
      <c r="C23" s="2"/>
      <c r="D23" s="2"/>
      <c r="E23" s="2"/>
      <c r="F23" s="2"/>
    </row>
    <row r="24" spans="1:6" x14ac:dyDescent="0.25">
      <c r="A24" s="3" t="s">
        <v>23</v>
      </c>
      <c r="B24" s="3"/>
      <c r="C24" s="3"/>
      <c r="D24" s="3"/>
      <c r="E24" s="3"/>
      <c r="F24" s="3"/>
    </row>
    <row r="25" spans="1:6" x14ac:dyDescent="0.25">
      <c r="A25" s="5" t="s">
        <v>23</v>
      </c>
      <c r="B25" s="2"/>
      <c r="C25" s="2"/>
      <c r="D25" s="2"/>
      <c r="E25" s="2"/>
      <c r="F25" s="2"/>
    </row>
    <row r="26" spans="1:6" x14ac:dyDescent="0.25">
      <c r="A26" s="6" t="s">
        <v>24</v>
      </c>
      <c r="B26" s="7" t="s">
        <v>25</v>
      </c>
      <c r="C26" s="2"/>
      <c r="D26" s="2"/>
      <c r="E26" s="2"/>
      <c r="F26" s="2"/>
    </row>
    <row r="27" spans="1:6" x14ac:dyDescent="0.25">
      <c r="A27" s="8" t="s">
        <v>24</v>
      </c>
      <c r="B27" s="7" t="s">
        <v>26</v>
      </c>
      <c r="C27" s="2"/>
      <c r="D27" s="2"/>
      <c r="E27" s="2"/>
      <c r="F27" s="2"/>
    </row>
    <row r="28" spans="1:6" x14ac:dyDescent="0.25">
      <c r="A28" s="9" t="s">
        <v>24</v>
      </c>
      <c r="B28" s="7" t="s">
        <v>27</v>
      </c>
      <c r="C28" s="2"/>
      <c r="D28" s="2"/>
      <c r="E28" s="2"/>
      <c r="F28" s="2"/>
    </row>
    <row r="29" spans="1:6" x14ac:dyDescent="0.25">
      <c r="A29" s="2"/>
      <c r="B29" s="2"/>
      <c r="C29" s="2"/>
      <c r="D29" s="2"/>
      <c r="E29" s="2"/>
      <c r="F29" s="2"/>
    </row>
    <row r="30" spans="1:6" x14ac:dyDescent="0.25">
      <c r="A30" s="3" t="s">
        <v>28</v>
      </c>
      <c r="B30" s="3"/>
      <c r="C30" s="3"/>
      <c r="D30" s="3"/>
      <c r="E30" s="3"/>
      <c r="F30" s="3"/>
    </row>
    <row r="31" ht="45" customHeight="1" spans="1:6" x14ac:dyDescent="0.25">
      <c r="A31" s="2" t="s">
        <v>29</v>
      </c>
      <c r="B31" s="2"/>
      <c r="C31" s="2"/>
      <c r="D31" s="2"/>
      <c r="E31" s="2"/>
      <c r="F31" s="2"/>
    </row>
    <row r="32" spans="1:6" x14ac:dyDescent="0.25">
      <c r="A32" s="2"/>
      <c r="B32" s="2"/>
      <c r="C32" s="2"/>
      <c r="D32" s="2"/>
      <c r="E32" s="2"/>
      <c r="F32" s="2"/>
    </row>
    <row r="33" spans="1:6" x14ac:dyDescent="0.25">
      <c r="A33" s="3" t="s">
        <v>30</v>
      </c>
      <c r="B33" s="3"/>
      <c r="C33" s="3"/>
      <c r="D33" s="3"/>
      <c r="E33" s="3"/>
      <c r="F33" s="3"/>
    </row>
    <row r="34" ht="60" customHeight="1" spans="1:6" x14ac:dyDescent="0.25">
      <c r="A34" s="2" t="s">
        <v>31</v>
      </c>
      <c r="B34" s="2"/>
      <c r="C34" s="2"/>
      <c r="D34" s="2"/>
      <c r="E34" s="2"/>
      <c r="F34" s="2"/>
    </row>
    <row r="35" spans="1:6" x14ac:dyDescent="0.25">
      <c r="A35" s="2"/>
      <c r="B35" s="2"/>
      <c r="C35" s="2"/>
      <c r="D35" s="2"/>
      <c r="E35" s="2"/>
      <c r="F35" s="2"/>
    </row>
    <row r="36" spans="1:6" x14ac:dyDescent="0.25">
      <c r="A36" s="2"/>
      <c r="B36" s="2"/>
      <c r="C36" s="2"/>
      <c r="D36" s="2"/>
      <c r="E36" s="2"/>
      <c r="F36" s="2"/>
    </row>
    <row r="37" ht="32" customHeight="1" spans="1:6" x14ac:dyDescent="0.25">
      <c r="A37" s="10" t="s">
        <v>32</v>
      </c>
      <c r="B37" s="10"/>
      <c r="C37" s="10"/>
      <c r="D37" s="10"/>
      <c r="E37" s="10"/>
      <c r="F37" s="10"/>
    </row>
  </sheetData>
  <mergeCells count="29">
    <mergeCell ref="A1:F1"/>
    <mergeCell ref="A3:F3"/>
    <mergeCell ref="A4:F4"/>
    <mergeCell ref="A6:F6"/>
    <mergeCell ref="A7:F7"/>
    <mergeCell ref="A9:F9"/>
    <mergeCell ref="A10:B10"/>
    <mergeCell ref="C10:F10"/>
    <mergeCell ref="A11:B11"/>
    <mergeCell ref="C11:F11"/>
    <mergeCell ref="A12:B12"/>
    <mergeCell ref="C12:F12"/>
    <mergeCell ref="A13:B13"/>
    <mergeCell ref="C13:F13"/>
    <mergeCell ref="A14:B14"/>
    <mergeCell ref="C14:F14"/>
    <mergeCell ref="A16:F16"/>
    <mergeCell ref="A17:F17"/>
    <mergeCell ref="A18:F18"/>
    <mergeCell ref="A19:F19"/>
    <mergeCell ref="A20:F20"/>
    <mergeCell ref="A21:F21"/>
    <mergeCell ref="A22:F22"/>
    <mergeCell ref="A24:F24"/>
    <mergeCell ref="A30:F30"/>
    <mergeCell ref="A31:F31"/>
    <mergeCell ref="A33:F33"/>
    <mergeCell ref="A34:F34"/>
    <mergeCell ref="A37:F37"/>
  </mergeCells>
  <hyperlinks>
    <hyperlink ref="A37" r:id="rId1"/>
  </hyperlinks>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1"/>
  <sheetViews>
    <sheetView workbookViewId="0">
      <pane ySplit="2" topLeftCell="A3" activePane="bottomLeft" state="frozen"/>
      <selection pane="bottomLeft"/>
    </sheetView>
  </sheetViews>
  <sheetFormatPr defaultRowHeight="15" outlineLevelRow="0" outlineLevelCol="0" x14ac:dyDescent="55"/>
  <cols>
    <col min="1" max="1" width="40" customWidth="1"/>
    <col min="2" max="2" width="22" customWidth="1"/>
    <col min="3" max="4" width="13" customWidth="1"/>
    <col min="5" max="5" width="3" customWidth="1"/>
    <col min="6" max="6" width="22" customWidth="1"/>
    <col min="7" max="7" width="13" customWidth="1"/>
  </cols>
  <sheetData>
    <row r="1" ht="24" customHeight="1" spans="1:7" x14ac:dyDescent="0.25">
      <c r="A1" s="11" t="s">
        <v>33</v>
      </c>
      <c r="B1" s="11"/>
      <c r="C1" s="11"/>
      <c r="D1" s="11"/>
      <c r="E1" s="11"/>
      <c r="F1" s="11"/>
      <c r="G1" s="11"/>
    </row>
    <row r="2" ht="30" customHeight="1" spans="1:7" x14ac:dyDescent="0.25">
      <c r="A2" s="12" t="s">
        <v>34</v>
      </c>
      <c r="B2" s="12" t="s">
        <v>35</v>
      </c>
      <c r="C2" s="12" t="s">
        <v>36</v>
      </c>
      <c r="D2" s="12" t="s">
        <v>37</v>
      </c>
      <c r="E2" s="13"/>
      <c r="F2" s="12" t="s">
        <v>35</v>
      </c>
      <c r="G2" s="12" t="s">
        <v>38</v>
      </c>
    </row>
    <row r="3" spans="1:7" x14ac:dyDescent="0.25">
      <c r="A3" s="14" t="s">
        <v>39</v>
      </c>
      <c r="B3" s="14" t="s">
        <v>40</v>
      </c>
      <c r="C3" s="15">
        <v>38000</v>
      </c>
      <c r="D3" s="16" t="str">
        <f>IF(AND(A3="",B3="",C3=""),"",IF(OR(A3="",NOT(OR(B3="Vehicle",B3="Tools",B3="Licensing &amp; insurance",B3="Software",B3="Marketing",B3="Inventory",B3="Other")),NOT(ISNUMBER(C3)),C3&lt;0,C3&gt;10000000),"Check inputs","OK"))</f>
        <v>OK</v>
      </c>
      <c r="F3" s="17" t="s">
        <v>40</v>
      </c>
      <c r="G3" s="18">
        <f>SUMPRODUCT(--($B$3:$B$51=F3),$C$3:$C$51)</f>
        <v>38000</v>
      </c>
    </row>
    <row r="4" spans="1:7" x14ac:dyDescent="0.25">
      <c r="A4" s="14" t="s">
        <v>41</v>
      </c>
      <c r="B4" s="14" t="s">
        <v>42</v>
      </c>
      <c r="C4" s="15">
        <v>6500</v>
      </c>
      <c r="D4" s="16" t="str">
        <f>IF(AND(A4="",B4="",C4=""),"",IF(OR(A4="",NOT(OR(B4="Vehicle",B4="Tools",B4="Licensing &amp; insurance",B4="Software",B4="Marketing",B4="Inventory",B4="Other")),NOT(ISNUMBER(C4)),C4&lt;0,C4&gt;10000000),"Check inputs","OK"))</f>
        <v>OK</v>
      </c>
      <c r="F4" s="17" t="s">
        <v>42</v>
      </c>
      <c r="G4" s="18">
        <f>SUMPRODUCT(--($B$3:$B$51=F4),$C$3:$C$51)</f>
        <v>10700</v>
      </c>
    </row>
    <row r="5" spans="1:7" x14ac:dyDescent="0.25">
      <c r="A5" s="14" t="s">
        <v>43</v>
      </c>
      <c r="B5" s="14" t="s">
        <v>42</v>
      </c>
      <c r="C5" s="15">
        <v>4200</v>
      </c>
      <c r="D5" s="16" t="str">
        <f>IF(AND(A5="",B5="",C5=""),"",IF(OR(A5="",NOT(OR(B5="Vehicle",B5="Tools",B5="Licensing &amp; insurance",B5="Software",B5="Marketing",B5="Inventory",B5="Other")),NOT(ISNUMBER(C5)),C5&lt;0,C5&gt;10000000),"Check inputs","OK"))</f>
        <v>OK</v>
      </c>
      <c r="F5" s="17" t="s">
        <v>44</v>
      </c>
      <c r="G5" s="18">
        <f>SUMPRODUCT(--($B$3:$B$51=F5),$C$3:$C$51)</f>
        <v>5400</v>
      </c>
    </row>
    <row r="6" spans="1:7" x14ac:dyDescent="0.25">
      <c r="A6" s="14" t="s">
        <v>45</v>
      </c>
      <c r="B6" s="14" t="s">
        <v>44</v>
      </c>
      <c r="C6" s="15">
        <v>1800</v>
      </c>
      <c r="D6" s="16" t="str">
        <f>IF(AND(A6="",B6="",C6=""),"",IF(OR(A6="",NOT(OR(B6="Vehicle",B6="Tools",B6="Licensing &amp; insurance",B6="Software",B6="Marketing",B6="Inventory",B6="Other")),NOT(ISNUMBER(C6)),C6&lt;0,C6&gt;10000000),"Check inputs","OK"))</f>
        <v>OK</v>
      </c>
      <c r="F6" s="17" t="s">
        <v>46</v>
      </c>
      <c r="G6" s="18">
        <f>SUMPRODUCT(--($B$3:$B$51=F6),$C$3:$C$51)</f>
        <v>600</v>
      </c>
    </row>
    <row r="7" spans="1:7" x14ac:dyDescent="0.25">
      <c r="A7" s="14" t="s">
        <v>47</v>
      </c>
      <c r="B7" s="14" t="s">
        <v>44</v>
      </c>
      <c r="C7" s="15">
        <v>3600</v>
      </c>
      <c r="D7" s="16" t="str">
        <f>IF(AND(A7="",B7="",C7=""),"",IF(OR(A7="",NOT(OR(B7="Vehicle",B7="Tools",B7="Licensing &amp; insurance",B7="Software",B7="Marketing",B7="Inventory",B7="Other")),NOT(ISNUMBER(C7)),C7&lt;0,C7&gt;10000000),"Check inputs","OK"))</f>
        <v>OK</v>
      </c>
      <c r="F7" s="17" t="s">
        <v>48</v>
      </c>
      <c r="G7" s="18">
        <f>SUMPRODUCT(--($B$3:$B$51=F7),$C$3:$C$51)</f>
        <v>5200</v>
      </c>
    </row>
    <row r="8" spans="1:7" x14ac:dyDescent="0.25">
      <c r="A8" s="14" t="s">
        <v>49</v>
      </c>
      <c r="B8" s="14" t="s">
        <v>46</v>
      </c>
      <c r="C8" s="15">
        <v>600</v>
      </c>
      <c r="D8" s="16" t="str">
        <f>IF(AND(A8="",B8="",C8=""),"",IF(OR(A8="",NOT(OR(B8="Vehicle",B8="Tools",B8="Licensing &amp; insurance",B8="Software",B8="Marketing",B8="Inventory",B8="Other")),NOT(ISNUMBER(C8)),C8&lt;0,C8&gt;10000000),"Check inputs","OK"))</f>
        <v>OK</v>
      </c>
      <c r="F8" s="17" t="s">
        <v>50</v>
      </c>
      <c r="G8" s="18">
        <f>SUMPRODUCT(--($B$3:$B$51=F8),$C$3:$C$51)</f>
        <v>4500</v>
      </c>
    </row>
    <row r="9" spans="1:7" x14ac:dyDescent="0.25">
      <c r="A9" s="14" t="s">
        <v>51</v>
      </c>
      <c r="B9" s="14" t="s">
        <v>48</v>
      </c>
      <c r="C9" s="15">
        <v>5200</v>
      </c>
      <c r="D9" s="16" t="str">
        <f>IF(AND(A9="",B9="",C9=""),"",IF(OR(A9="",NOT(OR(B9="Vehicle",B9="Tools",B9="Licensing &amp; insurance",B9="Software",B9="Marketing",B9="Inventory",B9="Other")),NOT(ISNUMBER(C9)),C9&lt;0,C9&gt;10000000),"Check inputs","OK"))</f>
        <v>OK</v>
      </c>
      <c r="F9" s="17" t="s">
        <v>52</v>
      </c>
      <c r="G9" s="18">
        <f>SUMPRODUCT(--($B$3:$B$51=F9),$C$3:$C$51)</f>
        <v>0</v>
      </c>
    </row>
    <row r="10" spans="1:7" x14ac:dyDescent="0.25">
      <c r="A10" s="14" t="s">
        <v>53</v>
      </c>
      <c r="B10" s="14" t="s">
        <v>50</v>
      </c>
      <c r="C10" s="15">
        <v>4500</v>
      </c>
      <c r="D10" s="16" t="str">
        <f>IF(AND(A10="",B10="",C10=""),"",IF(OR(A10="",NOT(OR(B10="Vehicle",B10="Tools",B10="Licensing &amp; insurance",B10="Software",B10="Marketing",B10="Inventory",B10="Other")),NOT(ISNUMBER(C10)),C10&lt;0,C10&gt;10000000),"Check inputs","OK"))</f>
        <v>OK</v>
      </c>
      <c r="F10" s="19" t="s">
        <v>54</v>
      </c>
      <c r="G10" s="20">
        <f>SUM(C3:C51)</f>
        <v>64400</v>
      </c>
    </row>
    <row r="11" spans="1:4" x14ac:dyDescent="0.25">
      <c r="A11" s="14"/>
      <c r="B11" s="14"/>
      <c r="C11" s="15"/>
      <c r="D11" s="16" t="str">
        <f>IF(AND(A11="",B11="",C11=""),"",IF(OR(A11="",NOT(OR(B11="Vehicle",B11="Tools",B11="Licensing &amp; insurance",B11="Software",B11="Marketing",B11="Inventory",B11="Other")),NOT(ISNUMBER(C11)),C11&lt;0,C11&gt;10000000),"Check inputs","OK"))</f>
        <v/>
      </c>
    </row>
    <row r="12" spans="1:4" x14ac:dyDescent="0.25">
      <c r="A12" s="14"/>
      <c r="B12" s="14"/>
      <c r="C12" s="15"/>
      <c r="D12" s="16" t="str">
        <f>IF(AND(A12="",B12="",C12=""),"",IF(OR(A12="",NOT(OR(B12="Vehicle",B12="Tools",B12="Licensing &amp; insurance",B12="Software",B12="Marketing",B12="Inventory",B12="Other")),NOT(ISNUMBER(C12)),C12&lt;0,C12&gt;10000000),"Check inputs","OK"))</f>
        <v/>
      </c>
    </row>
    <row r="13" spans="1:4" x14ac:dyDescent="0.25">
      <c r="A13" s="14"/>
      <c r="B13" s="14"/>
      <c r="C13" s="15"/>
      <c r="D13" s="16" t="str">
        <f>IF(AND(A13="",B13="",C13=""),"",IF(OR(A13="",NOT(OR(B13="Vehicle",B13="Tools",B13="Licensing &amp; insurance",B13="Software",B13="Marketing",B13="Inventory",B13="Other")),NOT(ISNUMBER(C13)),C13&lt;0,C13&gt;10000000),"Check inputs","OK"))</f>
        <v/>
      </c>
    </row>
    <row r="14" spans="1:4" x14ac:dyDescent="0.25">
      <c r="A14" s="14"/>
      <c r="B14" s="14"/>
      <c r="C14" s="15"/>
      <c r="D14" s="16" t="str">
        <f>IF(AND(A14="",B14="",C14=""),"",IF(OR(A14="",NOT(OR(B14="Vehicle",B14="Tools",B14="Licensing &amp; insurance",B14="Software",B14="Marketing",B14="Inventory",B14="Other")),NOT(ISNUMBER(C14)),C14&lt;0,C14&gt;10000000),"Check inputs","OK"))</f>
        <v/>
      </c>
    </row>
    <row r="15" spans="1:4" x14ac:dyDescent="0.25">
      <c r="A15" s="14"/>
      <c r="B15" s="14"/>
      <c r="C15" s="15"/>
      <c r="D15" s="16" t="str">
        <f>IF(AND(A15="",B15="",C15=""),"",IF(OR(A15="",NOT(OR(B15="Vehicle",B15="Tools",B15="Licensing &amp; insurance",B15="Software",B15="Marketing",B15="Inventory",B15="Other")),NOT(ISNUMBER(C15)),C15&lt;0,C15&gt;10000000),"Check inputs","OK"))</f>
        <v/>
      </c>
    </row>
    <row r="16" spans="1:4" x14ac:dyDescent="0.25">
      <c r="A16" s="14"/>
      <c r="B16" s="14"/>
      <c r="C16" s="15"/>
      <c r="D16" s="16" t="str">
        <f>IF(AND(A16="",B16="",C16=""),"",IF(OR(A16="",NOT(OR(B16="Vehicle",B16="Tools",B16="Licensing &amp; insurance",B16="Software",B16="Marketing",B16="Inventory",B16="Other")),NOT(ISNUMBER(C16)),C16&lt;0,C16&gt;10000000),"Check inputs","OK"))</f>
        <v/>
      </c>
    </row>
    <row r="17" spans="1:4" x14ac:dyDescent="0.25">
      <c r="A17" s="14"/>
      <c r="B17" s="14"/>
      <c r="C17" s="15"/>
      <c r="D17" s="16" t="str">
        <f>IF(AND(A17="",B17="",C17=""),"",IF(OR(A17="",NOT(OR(B17="Vehicle",B17="Tools",B17="Licensing &amp; insurance",B17="Software",B17="Marketing",B17="Inventory",B17="Other")),NOT(ISNUMBER(C17)),C17&lt;0,C17&gt;10000000),"Check inputs","OK"))</f>
        <v/>
      </c>
    </row>
    <row r="18" spans="1:4" x14ac:dyDescent="0.25">
      <c r="A18" s="14"/>
      <c r="B18" s="14"/>
      <c r="C18" s="15"/>
      <c r="D18" s="16" t="str">
        <f>IF(AND(A18="",B18="",C18=""),"",IF(OR(A18="",NOT(OR(B18="Vehicle",B18="Tools",B18="Licensing &amp; insurance",B18="Software",B18="Marketing",B18="Inventory",B18="Other")),NOT(ISNUMBER(C18)),C18&lt;0,C18&gt;10000000),"Check inputs","OK"))</f>
        <v/>
      </c>
    </row>
    <row r="19" spans="1:4" x14ac:dyDescent="0.25">
      <c r="A19" s="14"/>
      <c r="B19" s="14"/>
      <c r="C19" s="15"/>
      <c r="D19" s="16" t="str">
        <f>IF(AND(A19="",B19="",C19=""),"",IF(OR(A19="",NOT(OR(B19="Vehicle",B19="Tools",B19="Licensing &amp; insurance",B19="Software",B19="Marketing",B19="Inventory",B19="Other")),NOT(ISNUMBER(C19)),C19&lt;0,C19&gt;10000000),"Check inputs","OK"))</f>
        <v/>
      </c>
    </row>
    <row r="20" spans="1:4" x14ac:dyDescent="0.25">
      <c r="A20" s="14"/>
      <c r="B20" s="14"/>
      <c r="C20" s="15"/>
      <c r="D20" s="16" t="str">
        <f>IF(AND(A20="",B20="",C20=""),"",IF(OR(A20="",NOT(OR(B20="Vehicle",B20="Tools",B20="Licensing &amp; insurance",B20="Software",B20="Marketing",B20="Inventory",B20="Other")),NOT(ISNUMBER(C20)),C20&lt;0,C20&gt;10000000),"Check inputs","OK"))</f>
        <v/>
      </c>
    </row>
    <row r="21" spans="1:4" x14ac:dyDescent="0.25">
      <c r="A21" s="14"/>
      <c r="B21" s="14"/>
      <c r="C21" s="15"/>
      <c r="D21" s="16" t="str">
        <f>IF(AND(A21="",B21="",C21=""),"",IF(OR(A21="",NOT(OR(B21="Vehicle",B21="Tools",B21="Licensing &amp; insurance",B21="Software",B21="Marketing",B21="Inventory",B21="Other")),NOT(ISNUMBER(C21)),C21&lt;0,C21&gt;10000000),"Check inputs","OK"))</f>
        <v/>
      </c>
    </row>
    <row r="22" spans="1:4" x14ac:dyDescent="0.25">
      <c r="A22" s="14"/>
      <c r="B22" s="14"/>
      <c r="C22" s="15"/>
      <c r="D22" s="16" t="str">
        <f>IF(AND(A22="",B22="",C22=""),"",IF(OR(A22="",NOT(OR(B22="Vehicle",B22="Tools",B22="Licensing &amp; insurance",B22="Software",B22="Marketing",B22="Inventory",B22="Other")),NOT(ISNUMBER(C22)),C22&lt;0,C22&gt;10000000),"Check inputs","OK"))</f>
        <v/>
      </c>
    </row>
    <row r="23" spans="1:4" x14ac:dyDescent="0.25">
      <c r="A23" s="14"/>
      <c r="B23" s="14"/>
      <c r="C23" s="15"/>
      <c r="D23" s="16" t="str">
        <f>IF(AND(A23="",B23="",C23=""),"",IF(OR(A23="",NOT(OR(B23="Vehicle",B23="Tools",B23="Licensing &amp; insurance",B23="Software",B23="Marketing",B23="Inventory",B23="Other")),NOT(ISNUMBER(C23)),C23&lt;0,C23&gt;10000000),"Check inputs","OK"))</f>
        <v/>
      </c>
    </row>
    <row r="24" spans="1:4" x14ac:dyDescent="0.25">
      <c r="A24" s="14"/>
      <c r="B24" s="14"/>
      <c r="C24" s="15"/>
      <c r="D24" s="16" t="str">
        <f>IF(AND(A24="",B24="",C24=""),"",IF(OR(A24="",NOT(OR(B24="Vehicle",B24="Tools",B24="Licensing &amp; insurance",B24="Software",B24="Marketing",B24="Inventory",B24="Other")),NOT(ISNUMBER(C24)),C24&lt;0,C24&gt;10000000),"Check inputs","OK"))</f>
        <v/>
      </c>
    </row>
    <row r="25" spans="1:4" x14ac:dyDescent="0.25">
      <c r="A25" s="14"/>
      <c r="B25" s="14"/>
      <c r="C25" s="15"/>
      <c r="D25" s="16" t="str">
        <f>IF(AND(A25="",B25="",C25=""),"",IF(OR(A25="",NOT(OR(B25="Vehicle",B25="Tools",B25="Licensing &amp; insurance",B25="Software",B25="Marketing",B25="Inventory",B25="Other")),NOT(ISNUMBER(C25)),C25&lt;0,C25&gt;10000000),"Check inputs","OK"))</f>
        <v/>
      </c>
    </row>
    <row r="26" spans="1:4" x14ac:dyDescent="0.25">
      <c r="A26" s="14"/>
      <c r="B26" s="14"/>
      <c r="C26" s="15"/>
      <c r="D26" s="16" t="str">
        <f>IF(AND(A26="",B26="",C26=""),"",IF(OR(A26="",NOT(OR(B26="Vehicle",B26="Tools",B26="Licensing &amp; insurance",B26="Software",B26="Marketing",B26="Inventory",B26="Other")),NOT(ISNUMBER(C26)),C26&lt;0,C26&gt;10000000),"Check inputs","OK"))</f>
        <v/>
      </c>
    </row>
    <row r="27" spans="1:4" x14ac:dyDescent="0.25">
      <c r="A27" s="14"/>
      <c r="B27" s="14"/>
      <c r="C27" s="15"/>
      <c r="D27" s="16" t="str">
        <f>IF(AND(A27="",B27="",C27=""),"",IF(OR(A27="",NOT(OR(B27="Vehicle",B27="Tools",B27="Licensing &amp; insurance",B27="Software",B27="Marketing",B27="Inventory",B27="Other")),NOT(ISNUMBER(C27)),C27&lt;0,C27&gt;10000000),"Check inputs","OK"))</f>
        <v/>
      </c>
    </row>
    <row r="28" spans="1:4" x14ac:dyDescent="0.25">
      <c r="A28" s="14"/>
      <c r="B28" s="14"/>
      <c r="C28" s="15"/>
      <c r="D28" s="16" t="str">
        <f>IF(AND(A28="",B28="",C28=""),"",IF(OR(A28="",NOT(OR(B28="Vehicle",B28="Tools",B28="Licensing &amp; insurance",B28="Software",B28="Marketing",B28="Inventory",B28="Other")),NOT(ISNUMBER(C28)),C28&lt;0,C28&gt;10000000),"Check inputs","OK"))</f>
        <v/>
      </c>
    </row>
    <row r="29" spans="1:4" x14ac:dyDescent="0.25">
      <c r="A29" s="14"/>
      <c r="B29" s="14"/>
      <c r="C29" s="15"/>
      <c r="D29" s="16" t="str">
        <f>IF(AND(A29="",B29="",C29=""),"",IF(OR(A29="",NOT(OR(B29="Vehicle",B29="Tools",B29="Licensing &amp; insurance",B29="Software",B29="Marketing",B29="Inventory",B29="Other")),NOT(ISNUMBER(C29)),C29&lt;0,C29&gt;10000000),"Check inputs","OK"))</f>
        <v/>
      </c>
    </row>
    <row r="30" spans="1:4" x14ac:dyDescent="0.25">
      <c r="A30" s="14"/>
      <c r="B30" s="14"/>
      <c r="C30" s="15"/>
      <c r="D30" s="16" t="str">
        <f>IF(AND(A30="",B30="",C30=""),"",IF(OR(A30="",NOT(OR(B30="Vehicle",B30="Tools",B30="Licensing &amp; insurance",B30="Software",B30="Marketing",B30="Inventory",B30="Other")),NOT(ISNUMBER(C30)),C30&lt;0,C30&gt;10000000),"Check inputs","OK"))</f>
        <v/>
      </c>
    </row>
    <row r="31" spans="1:4" x14ac:dyDescent="0.25">
      <c r="A31" s="14"/>
      <c r="B31" s="14"/>
      <c r="C31" s="15"/>
      <c r="D31" s="16" t="str">
        <f>IF(AND(A31="",B31="",C31=""),"",IF(OR(A31="",NOT(OR(B31="Vehicle",B31="Tools",B31="Licensing &amp; insurance",B31="Software",B31="Marketing",B31="Inventory",B31="Other")),NOT(ISNUMBER(C31)),C31&lt;0,C31&gt;10000000),"Check inputs","OK"))</f>
        <v/>
      </c>
    </row>
    <row r="32" spans="1:4" x14ac:dyDescent="0.25">
      <c r="A32" s="14"/>
      <c r="B32" s="14"/>
      <c r="C32" s="15"/>
      <c r="D32" s="16" t="str">
        <f>IF(AND(A32="",B32="",C32=""),"",IF(OR(A32="",NOT(OR(B32="Vehicle",B32="Tools",B32="Licensing &amp; insurance",B32="Software",B32="Marketing",B32="Inventory",B32="Other")),NOT(ISNUMBER(C32)),C32&lt;0,C32&gt;10000000),"Check inputs","OK"))</f>
        <v/>
      </c>
    </row>
    <row r="33" spans="1:4" x14ac:dyDescent="0.25">
      <c r="A33" s="14"/>
      <c r="B33" s="14"/>
      <c r="C33" s="15"/>
      <c r="D33" s="16" t="str">
        <f>IF(AND(A33="",B33="",C33=""),"",IF(OR(A33="",NOT(OR(B33="Vehicle",B33="Tools",B33="Licensing &amp; insurance",B33="Software",B33="Marketing",B33="Inventory",B33="Other")),NOT(ISNUMBER(C33)),C33&lt;0,C33&gt;10000000),"Check inputs","OK"))</f>
        <v/>
      </c>
    </row>
    <row r="34" spans="1:4" x14ac:dyDescent="0.25">
      <c r="A34" s="14"/>
      <c r="B34" s="14"/>
      <c r="C34" s="15"/>
      <c r="D34" s="16" t="str">
        <f>IF(AND(A34="",B34="",C34=""),"",IF(OR(A34="",NOT(OR(B34="Vehicle",B34="Tools",B34="Licensing &amp; insurance",B34="Software",B34="Marketing",B34="Inventory",B34="Other")),NOT(ISNUMBER(C34)),C34&lt;0,C34&gt;10000000),"Check inputs","OK"))</f>
        <v/>
      </c>
    </row>
    <row r="35" spans="1:4" x14ac:dyDescent="0.25">
      <c r="A35" s="14"/>
      <c r="B35" s="14"/>
      <c r="C35" s="15"/>
      <c r="D35" s="16" t="str">
        <f>IF(AND(A35="",B35="",C35=""),"",IF(OR(A35="",NOT(OR(B35="Vehicle",B35="Tools",B35="Licensing &amp; insurance",B35="Software",B35="Marketing",B35="Inventory",B35="Other")),NOT(ISNUMBER(C35)),C35&lt;0,C35&gt;10000000),"Check inputs","OK"))</f>
        <v/>
      </c>
    </row>
    <row r="36" spans="1:4" x14ac:dyDescent="0.25">
      <c r="A36" s="14"/>
      <c r="B36" s="14"/>
      <c r="C36" s="15"/>
      <c r="D36" s="16" t="str">
        <f>IF(AND(A36="",B36="",C36=""),"",IF(OR(A36="",NOT(OR(B36="Vehicle",B36="Tools",B36="Licensing &amp; insurance",B36="Software",B36="Marketing",B36="Inventory",B36="Other")),NOT(ISNUMBER(C36)),C36&lt;0,C36&gt;10000000),"Check inputs","OK"))</f>
        <v/>
      </c>
    </row>
    <row r="37" spans="1:4" x14ac:dyDescent="0.25">
      <c r="A37" s="14"/>
      <c r="B37" s="14"/>
      <c r="C37" s="15"/>
      <c r="D37" s="16" t="str">
        <f>IF(AND(A37="",B37="",C37=""),"",IF(OR(A37="",NOT(OR(B37="Vehicle",B37="Tools",B37="Licensing &amp; insurance",B37="Software",B37="Marketing",B37="Inventory",B37="Other")),NOT(ISNUMBER(C37)),C37&lt;0,C37&gt;10000000),"Check inputs","OK"))</f>
        <v/>
      </c>
    </row>
    <row r="38" spans="1:4" x14ac:dyDescent="0.25">
      <c r="A38" s="14"/>
      <c r="B38" s="14"/>
      <c r="C38" s="15"/>
      <c r="D38" s="16" t="str">
        <f>IF(AND(A38="",B38="",C38=""),"",IF(OR(A38="",NOT(OR(B38="Vehicle",B38="Tools",B38="Licensing &amp; insurance",B38="Software",B38="Marketing",B38="Inventory",B38="Other")),NOT(ISNUMBER(C38)),C38&lt;0,C38&gt;10000000),"Check inputs","OK"))</f>
        <v/>
      </c>
    </row>
    <row r="39" spans="1:4" x14ac:dyDescent="0.25">
      <c r="A39" s="14"/>
      <c r="B39" s="14"/>
      <c r="C39" s="15"/>
      <c r="D39" s="16" t="str">
        <f>IF(AND(A39="",B39="",C39=""),"",IF(OR(A39="",NOT(OR(B39="Vehicle",B39="Tools",B39="Licensing &amp; insurance",B39="Software",B39="Marketing",B39="Inventory",B39="Other")),NOT(ISNUMBER(C39)),C39&lt;0,C39&gt;10000000),"Check inputs","OK"))</f>
        <v/>
      </c>
    </row>
    <row r="40" spans="1:4" x14ac:dyDescent="0.25">
      <c r="A40" s="14"/>
      <c r="B40" s="14"/>
      <c r="C40" s="15"/>
      <c r="D40" s="16" t="str">
        <f>IF(AND(A40="",B40="",C40=""),"",IF(OR(A40="",NOT(OR(B40="Vehicle",B40="Tools",B40="Licensing &amp; insurance",B40="Software",B40="Marketing",B40="Inventory",B40="Other")),NOT(ISNUMBER(C40)),C40&lt;0,C40&gt;10000000),"Check inputs","OK"))</f>
        <v/>
      </c>
    </row>
    <row r="41" spans="1:4" x14ac:dyDescent="0.25">
      <c r="A41" s="14"/>
      <c r="B41" s="14"/>
      <c r="C41" s="15"/>
      <c r="D41" s="16" t="str">
        <f>IF(AND(A41="",B41="",C41=""),"",IF(OR(A41="",NOT(OR(B41="Vehicle",B41="Tools",B41="Licensing &amp; insurance",B41="Software",B41="Marketing",B41="Inventory",B41="Other")),NOT(ISNUMBER(C41)),C41&lt;0,C41&gt;10000000),"Check inputs","OK"))</f>
        <v/>
      </c>
    </row>
    <row r="42" spans="1:4" x14ac:dyDescent="0.25">
      <c r="A42" s="14"/>
      <c r="B42" s="14"/>
      <c r="C42" s="15"/>
      <c r="D42" s="16" t="str">
        <f>IF(AND(A42="",B42="",C42=""),"",IF(OR(A42="",NOT(OR(B42="Vehicle",B42="Tools",B42="Licensing &amp; insurance",B42="Software",B42="Marketing",B42="Inventory",B42="Other")),NOT(ISNUMBER(C42)),C42&lt;0,C42&gt;10000000),"Check inputs","OK"))</f>
        <v/>
      </c>
    </row>
    <row r="43" spans="1:4" x14ac:dyDescent="0.25">
      <c r="A43" s="14"/>
      <c r="B43" s="14"/>
      <c r="C43" s="15"/>
      <c r="D43" s="16" t="str">
        <f>IF(AND(A43="",B43="",C43=""),"",IF(OR(A43="",NOT(OR(B43="Vehicle",B43="Tools",B43="Licensing &amp; insurance",B43="Software",B43="Marketing",B43="Inventory",B43="Other")),NOT(ISNUMBER(C43)),C43&lt;0,C43&gt;10000000),"Check inputs","OK"))</f>
        <v/>
      </c>
    </row>
    <row r="44" spans="1:4" x14ac:dyDescent="0.25">
      <c r="A44" s="14"/>
      <c r="B44" s="14"/>
      <c r="C44" s="15"/>
      <c r="D44" s="16" t="str">
        <f>IF(AND(A44="",B44="",C44=""),"",IF(OR(A44="",NOT(OR(B44="Vehicle",B44="Tools",B44="Licensing &amp; insurance",B44="Software",B44="Marketing",B44="Inventory",B44="Other")),NOT(ISNUMBER(C44)),C44&lt;0,C44&gt;10000000),"Check inputs","OK"))</f>
        <v/>
      </c>
    </row>
    <row r="45" spans="1:4" x14ac:dyDescent="0.25">
      <c r="A45" s="14"/>
      <c r="B45" s="14"/>
      <c r="C45" s="15"/>
      <c r="D45" s="16" t="str">
        <f>IF(AND(A45="",B45="",C45=""),"",IF(OR(A45="",NOT(OR(B45="Vehicle",B45="Tools",B45="Licensing &amp; insurance",B45="Software",B45="Marketing",B45="Inventory",B45="Other")),NOT(ISNUMBER(C45)),C45&lt;0,C45&gt;10000000),"Check inputs","OK"))</f>
        <v/>
      </c>
    </row>
    <row r="46" spans="1:4" x14ac:dyDescent="0.25">
      <c r="A46" s="14"/>
      <c r="B46" s="14"/>
      <c r="C46" s="15"/>
      <c r="D46" s="16" t="str">
        <f>IF(AND(A46="",B46="",C46=""),"",IF(OR(A46="",NOT(OR(B46="Vehicle",B46="Tools",B46="Licensing &amp; insurance",B46="Software",B46="Marketing",B46="Inventory",B46="Other")),NOT(ISNUMBER(C46)),C46&lt;0,C46&gt;10000000),"Check inputs","OK"))</f>
        <v/>
      </c>
    </row>
    <row r="47" spans="1:4" x14ac:dyDescent="0.25">
      <c r="A47" s="14"/>
      <c r="B47" s="14"/>
      <c r="C47" s="15"/>
      <c r="D47" s="16" t="str">
        <f>IF(AND(A47="",B47="",C47=""),"",IF(OR(A47="",NOT(OR(B47="Vehicle",B47="Tools",B47="Licensing &amp; insurance",B47="Software",B47="Marketing",B47="Inventory",B47="Other")),NOT(ISNUMBER(C47)),C47&lt;0,C47&gt;10000000),"Check inputs","OK"))</f>
        <v/>
      </c>
    </row>
    <row r="48" spans="1:4" x14ac:dyDescent="0.25">
      <c r="A48" s="14"/>
      <c r="B48" s="14"/>
      <c r="C48" s="15"/>
      <c r="D48" s="16" t="str">
        <f>IF(AND(A48="",B48="",C48=""),"",IF(OR(A48="",NOT(OR(B48="Vehicle",B48="Tools",B48="Licensing &amp; insurance",B48="Software",B48="Marketing",B48="Inventory",B48="Other")),NOT(ISNUMBER(C48)),C48&lt;0,C48&gt;10000000),"Check inputs","OK"))</f>
        <v/>
      </c>
    </row>
    <row r="49" spans="1:4" x14ac:dyDescent="0.25">
      <c r="A49" s="14"/>
      <c r="B49" s="14"/>
      <c r="C49" s="15"/>
      <c r="D49" s="16" t="str">
        <f>IF(AND(A49="",B49="",C49=""),"",IF(OR(A49="",NOT(OR(B49="Vehicle",B49="Tools",B49="Licensing &amp; insurance",B49="Software",B49="Marketing",B49="Inventory",B49="Other")),NOT(ISNUMBER(C49)),C49&lt;0,C49&gt;10000000),"Check inputs","OK"))</f>
        <v/>
      </c>
    </row>
    <row r="50" spans="1:4" x14ac:dyDescent="0.25">
      <c r="A50" s="14"/>
      <c r="B50" s="14"/>
      <c r="C50" s="15"/>
      <c r="D50" s="16" t="str">
        <f>IF(AND(A50="",B50="",C50=""),"",IF(OR(A50="",NOT(OR(B50="Vehicle",B50="Tools",B50="Licensing &amp; insurance",B50="Software",B50="Marketing",B50="Inventory",B50="Other")),NOT(ISNUMBER(C50)),C50&lt;0,C50&gt;10000000),"Check inputs","OK"))</f>
        <v/>
      </c>
    </row>
    <row r="51" spans="1:4" x14ac:dyDescent="0.25">
      <c r="A51" s="14"/>
      <c r="B51" s="14"/>
      <c r="C51" s="15"/>
      <c r="D51" s="16" t="str">
        <f>IF(AND(A51="",B51="",C51=""),"",IF(OR(A51="",NOT(OR(B51="Vehicle",B51="Tools",B51="Licensing &amp; insurance",B51="Software",B51="Marketing",B51="Inventory",B51="Other")),NOT(ISNUMBER(C51)),C51&lt;0,C51&gt;10000000),"Check inputs","OK"))</f>
        <v/>
      </c>
    </row>
  </sheetData>
  <mergeCells count="1">
    <mergeCell ref="A1:G1"/>
  </mergeCells>
  <conditionalFormatting sqref="D3:D51">
    <cfRule type="expression" dxfId="0" priority="1">
      <formula>AND(D3&lt;&gt;"",D3&lt;&gt;"OK")</formula>
    </cfRule>
  </conditionalFormatting>
  <dataValidations count="4">
    <dataValidation type="list" allowBlank="1" showErrorMessage="1" errorTitle="Unknown category" error="Choose one of: Vehicle, Tools, Licensing &amp; insurance, Software, Marketing, Inventory, Other" sqref="B10:B51">
      <formula1>"Vehicle,Tools,Licensing &amp; insurance,Software,Marketing,Inventory,Other"</formula1>
    </dataValidation>
    <dataValidation type="list" allowBlank="1" showErrorMessage="1" errorTitle="Unknown category" error="Choose one of: Vehicle, Tools, Licensing &amp; insurance, Software, Marketing, Inventory, Other" sqref="B3:B51">
      <formula1>"Vehicle,Tools,Licensing &amp; insurance,Software,Marketing,Inventory,Other"</formula1>
    </dataValidation>
    <dataValidation type="decimal" allowBlank="1" showErrorMessage="1" errorTitle="Invalid cost" error="Enter a number between 0 and 10000000" sqref="C10:C51">
      <formula1>0</formula1>
      <formula2>10000000</formula2>
    </dataValidation>
    <dataValidation type="decimal" allowBlank="1" showErrorMessage="1" errorTitle="Invalid cost" error="Enter a number between 0 and 10000000" sqref="C3:C51">
      <formula1>0</formula1>
      <formula2>10000000</formula2>
    </dataValidation>
  </dataValidation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1"/>
  <sheetViews>
    <sheetView workbookViewId="0">
      <pane ySplit="2" topLeftCell="A3" activePane="bottomLeft" state="frozen"/>
      <selection pane="bottomLeft"/>
    </sheetView>
  </sheetViews>
  <sheetFormatPr defaultRowHeight="15" outlineLevelRow="0" outlineLevelCol="0" x14ac:dyDescent="55"/>
  <cols>
    <col min="1" max="1" width="34" customWidth="1"/>
    <col min="2" max="2" width="14" customWidth="1"/>
    <col min="3" max="3" width="13" customWidth="1"/>
    <col min="4" max="4" width="3" customWidth="1"/>
    <col min="5" max="5" width="18" customWidth="1"/>
  </cols>
  <sheetData>
    <row r="1" ht="24" customHeight="1" spans="1:5" x14ac:dyDescent="0.25">
      <c r="A1" s="11" t="s">
        <v>55</v>
      </c>
      <c r="B1" s="11"/>
      <c r="C1" s="11"/>
      <c r="D1" s="11"/>
      <c r="E1" s="11"/>
    </row>
    <row r="2" ht="30" customHeight="1" spans="1:5" x14ac:dyDescent="0.25">
      <c r="A2" s="12" t="s">
        <v>34</v>
      </c>
      <c r="B2" s="12" t="s">
        <v>56</v>
      </c>
      <c r="C2" s="12" t="s">
        <v>37</v>
      </c>
      <c r="D2" s="13"/>
      <c r="E2" s="12" t="s">
        <v>57</v>
      </c>
    </row>
    <row r="3" spans="1:5" x14ac:dyDescent="0.25">
      <c r="A3" s="14" t="s">
        <v>58</v>
      </c>
      <c r="B3" s="15">
        <v>450</v>
      </c>
      <c r="C3" s="16" t="str">
        <f>IF(AND(A3="",B3=""),"",IF(OR(A3="",NOT(ISNUMBER(B3)),B3&lt;0,B3&gt;1000000),"Check inputs","OK"))</f>
        <v>OK</v>
      </c>
      <c r="E3" s="21">
        <f>SUM(B3:B51)</f>
        <v>4900</v>
      </c>
    </row>
    <row r="4" spans="1:3" x14ac:dyDescent="0.25">
      <c r="A4" s="14" t="s">
        <v>59</v>
      </c>
      <c r="B4" s="15">
        <v>900</v>
      </c>
      <c r="C4" s="16" t="str">
        <f>IF(AND(A4="",B4=""),"",IF(OR(A4="",NOT(ISNUMBER(B4)),B4&lt;0,B4&gt;1000000),"Check inputs","OK"))</f>
        <v>OK</v>
      </c>
    </row>
    <row r="5" spans="1:3" x14ac:dyDescent="0.25">
      <c r="A5" s="14" t="s">
        <v>60</v>
      </c>
      <c r="B5" s="15">
        <v>250</v>
      </c>
      <c r="C5" s="16" t="str">
        <f>IF(AND(A5="",B5=""),"",IF(OR(A5="",NOT(ISNUMBER(B5)),B5&lt;0,B5&gt;1000000),"Check inputs","OK"))</f>
        <v>OK</v>
      </c>
    </row>
    <row r="6" spans="1:3" x14ac:dyDescent="0.25">
      <c r="A6" s="14" t="s">
        <v>61</v>
      </c>
      <c r="B6" s="15">
        <v>180</v>
      </c>
      <c r="C6" s="16" t="str">
        <f>IF(AND(A6="",B6=""),"",IF(OR(A6="",NOT(ISNUMBER(B6)),B6&lt;0,B6&gt;1000000),"Check inputs","OK"))</f>
        <v>OK</v>
      </c>
    </row>
    <row r="7" spans="1:3" x14ac:dyDescent="0.25">
      <c r="A7" s="14" t="s">
        <v>48</v>
      </c>
      <c r="B7" s="15">
        <v>1200</v>
      </c>
      <c r="C7" s="16" t="str">
        <f>IF(AND(A7="",B7=""),"",IF(OR(A7="",NOT(ISNUMBER(B7)),B7&lt;0,B7&gt;1000000),"Check inputs","OK"))</f>
        <v>OK</v>
      </c>
    </row>
    <row r="8" spans="1:3" x14ac:dyDescent="0.25">
      <c r="A8" s="14" t="s">
        <v>62</v>
      </c>
      <c r="B8" s="15">
        <v>1400</v>
      </c>
      <c r="C8" s="16" t="str">
        <f>IF(AND(A8="",B8=""),"",IF(OR(A8="",NOT(ISNUMBER(B8)),B8&lt;0,B8&gt;1000000),"Check inputs","OK"))</f>
        <v>OK</v>
      </c>
    </row>
    <row r="9" spans="1:3" x14ac:dyDescent="0.25">
      <c r="A9" s="14" t="s">
        <v>63</v>
      </c>
      <c r="B9" s="15">
        <v>300</v>
      </c>
      <c r="C9" s="16" t="str">
        <f>IF(AND(A9="",B9=""),"",IF(OR(A9="",NOT(ISNUMBER(B9)),B9&lt;0,B9&gt;1000000),"Check inputs","OK"))</f>
        <v>OK</v>
      </c>
    </row>
    <row r="10" spans="1:3" x14ac:dyDescent="0.25">
      <c r="A10" s="14" t="s">
        <v>64</v>
      </c>
      <c r="B10" s="15">
        <v>220</v>
      </c>
      <c r="C10" s="16" t="str">
        <f>IF(AND(A10="",B10=""),"",IF(OR(A10="",NOT(ISNUMBER(B10)),B10&lt;0,B10&gt;1000000),"Check inputs","OK"))</f>
        <v>OK</v>
      </c>
    </row>
    <row r="11" spans="1:3" x14ac:dyDescent="0.25">
      <c r="A11" s="14"/>
      <c r="B11" s="15"/>
      <c r="C11" s="16" t="str">
        <f>IF(AND(A11="",B11=""),"",IF(OR(A11="",NOT(ISNUMBER(B11)),B11&lt;0,B11&gt;1000000),"Check inputs","OK"))</f>
        <v/>
      </c>
    </row>
    <row r="12" spans="1:3" x14ac:dyDescent="0.25">
      <c r="A12" s="14"/>
      <c r="B12" s="15"/>
      <c r="C12" s="16" t="str">
        <f>IF(AND(A12="",B12=""),"",IF(OR(A12="",NOT(ISNUMBER(B12)),B12&lt;0,B12&gt;1000000),"Check inputs","OK"))</f>
        <v/>
      </c>
    </row>
    <row r="13" spans="1:3" x14ac:dyDescent="0.25">
      <c r="A13" s="14"/>
      <c r="B13" s="15"/>
      <c r="C13" s="16" t="str">
        <f>IF(AND(A13="",B13=""),"",IF(OR(A13="",NOT(ISNUMBER(B13)),B13&lt;0,B13&gt;1000000),"Check inputs","OK"))</f>
        <v/>
      </c>
    </row>
    <row r="14" spans="1:3" x14ac:dyDescent="0.25">
      <c r="A14" s="14"/>
      <c r="B14" s="15"/>
      <c r="C14" s="16" t="str">
        <f>IF(AND(A14="",B14=""),"",IF(OR(A14="",NOT(ISNUMBER(B14)),B14&lt;0,B14&gt;1000000),"Check inputs","OK"))</f>
        <v/>
      </c>
    </row>
    <row r="15" spans="1:3" x14ac:dyDescent="0.25">
      <c r="A15" s="14"/>
      <c r="B15" s="15"/>
      <c r="C15" s="16" t="str">
        <f>IF(AND(A15="",B15=""),"",IF(OR(A15="",NOT(ISNUMBER(B15)),B15&lt;0,B15&gt;1000000),"Check inputs","OK"))</f>
        <v/>
      </c>
    </row>
    <row r="16" spans="1:3" x14ac:dyDescent="0.25">
      <c r="A16" s="14"/>
      <c r="B16" s="15"/>
      <c r="C16" s="16" t="str">
        <f>IF(AND(A16="",B16=""),"",IF(OR(A16="",NOT(ISNUMBER(B16)),B16&lt;0,B16&gt;1000000),"Check inputs","OK"))</f>
        <v/>
      </c>
    </row>
    <row r="17" spans="1:3" x14ac:dyDescent="0.25">
      <c r="A17" s="14"/>
      <c r="B17" s="15"/>
      <c r="C17" s="16" t="str">
        <f>IF(AND(A17="",B17=""),"",IF(OR(A17="",NOT(ISNUMBER(B17)),B17&lt;0,B17&gt;1000000),"Check inputs","OK"))</f>
        <v/>
      </c>
    </row>
    <row r="18" spans="1:3" x14ac:dyDescent="0.25">
      <c r="A18" s="14"/>
      <c r="B18" s="15"/>
      <c r="C18" s="16" t="str">
        <f>IF(AND(A18="",B18=""),"",IF(OR(A18="",NOT(ISNUMBER(B18)),B18&lt;0,B18&gt;1000000),"Check inputs","OK"))</f>
        <v/>
      </c>
    </row>
    <row r="19" spans="1:3" x14ac:dyDescent="0.25">
      <c r="A19" s="14"/>
      <c r="B19" s="15"/>
      <c r="C19" s="16" t="str">
        <f>IF(AND(A19="",B19=""),"",IF(OR(A19="",NOT(ISNUMBER(B19)),B19&lt;0,B19&gt;1000000),"Check inputs","OK"))</f>
        <v/>
      </c>
    </row>
    <row r="20" spans="1:3" x14ac:dyDescent="0.25">
      <c r="A20" s="14"/>
      <c r="B20" s="15"/>
      <c r="C20" s="16" t="str">
        <f>IF(AND(A20="",B20=""),"",IF(OR(A20="",NOT(ISNUMBER(B20)),B20&lt;0,B20&gt;1000000),"Check inputs","OK"))</f>
        <v/>
      </c>
    </row>
    <row r="21" spans="1:3" x14ac:dyDescent="0.25">
      <c r="A21" s="14"/>
      <c r="B21" s="15"/>
      <c r="C21" s="16" t="str">
        <f>IF(AND(A21="",B21=""),"",IF(OR(A21="",NOT(ISNUMBER(B21)),B21&lt;0,B21&gt;1000000),"Check inputs","OK"))</f>
        <v/>
      </c>
    </row>
    <row r="22" spans="1:3" x14ac:dyDescent="0.25">
      <c r="A22" s="14"/>
      <c r="B22" s="15"/>
      <c r="C22" s="16" t="str">
        <f>IF(AND(A22="",B22=""),"",IF(OR(A22="",NOT(ISNUMBER(B22)),B22&lt;0,B22&gt;1000000),"Check inputs","OK"))</f>
        <v/>
      </c>
    </row>
    <row r="23" spans="1:3" x14ac:dyDescent="0.25">
      <c r="A23" s="14"/>
      <c r="B23" s="15"/>
      <c r="C23" s="16" t="str">
        <f>IF(AND(A23="",B23=""),"",IF(OR(A23="",NOT(ISNUMBER(B23)),B23&lt;0,B23&gt;1000000),"Check inputs","OK"))</f>
        <v/>
      </c>
    </row>
    <row r="24" spans="1:3" x14ac:dyDescent="0.25">
      <c r="A24" s="14"/>
      <c r="B24" s="15"/>
      <c r="C24" s="16" t="str">
        <f>IF(AND(A24="",B24=""),"",IF(OR(A24="",NOT(ISNUMBER(B24)),B24&lt;0,B24&gt;1000000),"Check inputs","OK"))</f>
        <v/>
      </c>
    </row>
    <row r="25" spans="1:3" x14ac:dyDescent="0.25">
      <c r="A25" s="14"/>
      <c r="B25" s="15"/>
      <c r="C25" s="16" t="str">
        <f>IF(AND(A25="",B25=""),"",IF(OR(A25="",NOT(ISNUMBER(B25)),B25&lt;0,B25&gt;1000000),"Check inputs","OK"))</f>
        <v/>
      </c>
    </row>
    <row r="26" spans="1:3" x14ac:dyDescent="0.25">
      <c r="A26" s="14"/>
      <c r="B26" s="15"/>
      <c r="C26" s="16" t="str">
        <f>IF(AND(A26="",B26=""),"",IF(OR(A26="",NOT(ISNUMBER(B26)),B26&lt;0,B26&gt;1000000),"Check inputs","OK"))</f>
        <v/>
      </c>
    </row>
    <row r="27" spans="1:3" x14ac:dyDescent="0.25">
      <c r="A27" s="14"/>
      <c r="B27" s="15"/>
      <c r="C27" s="16" t="str">
        <f>IF(AND(A27="",B27=""),"",IF(OR(A27="",NOT(ISNUMBER(B27)),B27&lt;0,B27&gt;1000000),"Check inputs","OK"))</f>
        <v/>
      </c>
    </row>
    <row r="28" spans="1:3" x14ac:dyDescent="0.25">
      <c r="A28" s="14"/>
      <c r="B28" s="15"/>
      <c r="C28" s="16" t="str">
        <f>IF(AND(A28="",B28=""),"",IF(OR(A28="",NOT(ISNUMBER(B28)),B28&lt;0,B28&gt;1000000),"Check inputs","OK"))</f>
        <v/>
      </c>
    </row>
    <row r="29" spans="1:3" x14ac:dyDescent="0.25">
      <c r="A29" s="14"/>
      <c r="B29" s="15"/>
      <c r="C29" s="16" t="str">
        <f>IF(AND(A29="",B29=""),"",IF(OR(A29="",NOT(ISNUMBER(B29)),B29&lt;0,B29&gt;1000000),"Check inputs","OK"))</f>
        <v/>
      </c>
    </row>
    <row r="30" spans="1:3" x14ac:dyDescent="0.25">
      <c r="A30" s="14"/>
      <c r="B30" s="15"/>
      <c r="C30" s="16" t="str">
        <f>IF(AND(A30="",B30=""),"",IF(OR(A30="",NOT(ISNUMBER(B30)),B30&lt;0,B30&gt;1000000),"Check inputs","OK"))</f>
        <v/>
      </c>
    </row>
    <row r="31" spans="1:3" x14ac:dyDescent="0.25">
      <c r="A31" s="14"/>
      <c r="B31" s="15"/>
      <c r="C31" s="16" t="str">
        <f>IF(AND(A31="",B31=""),"",IF(OR(A31="",NOT(ISNUMBER(B31)),B31&lt;0,B31&gt;1000000),"Check inputs","OK"))</f>
        <v/>
      </c>
    </row>
    <row r="32" spans="1:3" x14ac:dyDescent="0.25">
      <c r="A32" s="14"/>
      <c r="B32" s="15"/>
      <c r="C32" s="16" t="str">
        <f>IF(AND(A32="",B32=""),"",IF(OR(A32="",NOT(ISNUMBER(B32)),B32&lt;0,B32&gt;1000000),"Check inputs","OK"))</f>
        <v/>
      </c>
    </row>
    <row r="33" spans="1:3" x14ac:dyDescent="0.25">
      <c r="A33" s="14"/>
      <c r="B33" s="15"/>
      <c r="C33" s="16" t="str">
        <f>IF(AND(A33="",B33=""),"",IF(OR(A33="",NOT(ISNUMBER(B33)),B33&lt;0,B33&gt;1000000),"Check inputs","OK"))</f>
        <v/>
      </c>
    </row>
    <row r="34" spans="1:3" x14ac:dyDescent="0.25">
      <c r="A34" s="14"/>
      <c r="B34" s="15"/>
      <c r="C34" s="16" t="str">
        <f>IF(AND(A34="",B34=""),"",IF(OR(A34="",NOT(ISNUMBER(B34)),B34&lt;0,B34&gt;1000000),"Check inputs","OK"))</f>
        <v/>
      </c>
    </row>
    <row r="35" spans="1:3" x14ac:dyDescent="0.25">
      <c r="A35" s="14"/>
      <c r="B35" s="15"/>
      <c r="C35" s="16" t="str">
        <f>IF(AND(A35="",B35=""),"",IF(OR(A35="",NOT(ISNUMBER(B35)),B35&lt;0,B35&gt;1000000),"Check inputs","OK"))</f>
        <v/>
      </c>
    </row>
    <row r="36" spans="1:3" x14ac:dyDescent="0.25">
      <c r="A36" s="14"/>
      <c r="B36" s="15"/>
      <c r="C36" s="16" t="str">
        <f>IF(AND(A36="",B36=""),"",IF(OR(A36="",NOT(ISNUMBER(B36)),B36&lt;0,B36&gt;1000000),"Check inputs","OK"))</f>
        <v/>
      </c>
    </row>
    <row r="37" spans="1:3" x14ac:dyDescent="0.25">
      <c r="A37" s="14"/>
      <c r="B37" s="15"/>
      <c r="C37" s="16" t="str">
        <f>IF(AND(A37="",B37=""),"",IF(OR(A37="",NOT(ISNUMBER(B37)),B37&lt;0,B37&gt;1000000),"Check inputs","OK"))</f>
        <v/>
      </c>
    </row>
    <row r="38" spans="1:3" x14ac:dyDescent="0.25">
      <c r="A38" s="14"/>
      <c r="B38" s="15"/>
      <c r="C38" s="16" t="str">
        <f>IF(AND(A38="",B38=""),"",IF(OR(A38="",NOT(ISNUMBER(B38)),B38&lt;0,B38&gt;1000000),"Check inputs","OK"))</f>
        <v/>
      </c>
    </row>
    <row r="39" spans="1:3" x14ac:dyDescent="0.25">
      <c r="A39" s="14"/>
      <c r="B39" s="15"/>
      <c r="C39" s="16" t="str">
        <f>IF(AND(A39="",B39=""),"",IF(OR(A39="",NOT(ISNUMBER(B39)),B39&lt;0,B39&gt;1000000),"Check inputs","OK"))</f>
        <v/>
      </c>
    </row>
    <row r="40" spans="1:3" x14ac:dyDescent="0.25">
      <c r="A40" s="14"/>
      <c r="B40" s="15"/>
      <c r="C40" s="16" t="str">
        <f>IF(AND(A40="",B40=""),"",IF(OR(A40="",NOT(ISNUMBER(B40)),B40&lt;0,B40&gt;1000000),"Check inputs","OK"))</f>
        <v/>
      </c>
    </row>
    <row r="41" spans="1:3" x14ac:dyDescent="0.25">
      <c r="A41" s="14"/>
      <c r="B41" s="15"/>
      <c r="C41" s="16" t="str">
        <f>IF(AND(A41="",B41=""),"",IF(OR(A41="",NOT(ISNUMBER(B41)),B41&lt;0,B41&gt;1000000),"Check inputs","OK"))</f>
        <v/>
      </c>
    </row>
    <row r="42" spans="1:3" x14ac:dyDescent="0.25">
      <c r="A42" s="14"/>
      <c r="B42" s="15"/>
      <c r="C42" s="16" t="str">
        <f>IF(AND(A42="",B42=""),"",IF(OR(A42="",NOT(ISNUMBER(B42)),B42&lt;0,B42&gt;1000000),"Check inputs","OK"))</f>
        <v/>
      </c>
    </row>
    <row r="43" spans="1:3" x14ac:dyDescent="0.25">
      <c r="A43" s="14"/>
      <c r="B43" s="15"/>
      <c r="C43" s="16" t="str">
        <f>IF(AND(A43="",B43=""),"",IF(OR(A43="",NOT(ISNUMBER(B43)),B43&lt;0,B43&gt;1000000),"Check inputs","OK"))</f>
        <v/>
      </c>
    </row>
    <row r="44" spans="1:3" x14ac:dyDescent="0.25">
      <c r="A44" s="14"/>
      <c r="B44" s="15"/>
      <c r="C44" s="16" t="str">
        <f>IF(AND(A44="",B44=""),"",IF(OR(A44="",NOT(ISNUMBER(B44)),B44&lt;0,B44&gt;1000000),"Check inputs","OK"))</f>
        <v/>
      </c>
    </row>
    <row r="45" spans="1:3" x14ac:dyDescent="0.25">
      <c r="A45" s="14"/>
      <c r="B45" s="15"/>
      <c r="C45" s="16" t="str">
        <f>IF(AND(A45="",B45=""),"",IF(OR(A45="",NOT(ISNUMBER(B45)),B45&lt;0,B45&gt;1000000),"Check inputs","OK"))</f>
        <v/>
      </c>
    </row>
    <row r="46" spans="1:3" x14ac:dyDescent="0.25">
      <c r="A46" s="14"/>
      <c r="B46" s="15"/>
      <c r="C46" s="16" t="str">
        <f>IF(AND(A46="",B46=""),"",IF(OR(A46="",NOT(ISNUMBER(B46)),B46&lt;0,B46&gt;1000000),"Check inputs","OK"))</f>
        <v/>
      </c>
    </row>
    <row r="47" spans="1:3" x14ac:dyDescent="0.25">
      <c r="A47" s="14"/>
      <c r="B47" s="15"/>
      <c r="C47" s="16" t="str">
        <f>IF(AND(A47="",B47=""),"",IF(OR(A47="",NOT(ISNUMBER(B47)),B47&lt;0,B47&gt;1000000),"Check inputs","OK"))</f>
        <v/>
      </c>
    </row>
    <row r="48" spans="1:3" x14ac:dyDescent="0.25">
      <c r="A48" s="14"/>
      <c r="B48" s="15"/>
      <c r="C48" s="16" t="str">
        <f>IF(AND(A48="",B48=""),"",IF(OR(A48="",NOT(ISNUMBER(B48)),B48&lt;0,B48&gt;1000000),"Check inputs","OK"))</f>
        <v/>
      </c>
    </row>
    <row r="49" spans="1:3" x14ac:dyDescent="0.25">
      <c r="A49" s="14"/>
      <c r="B49" s="15"/>
      <c r="C49" s="16" t="str">
        <f>IF(AND(A49="",B49=""),"",IF(OR(A49="",NOT(ISNUMBER(B49)),B49&lt;0,B49&gt;1000000),"Check inputs","OK"))</f>
        <v/>
      </c>
    </row>
    <row r="50" spans="1:3" x14ac:dyDescent="0.25">
      <c r="A50" s="14"/>
      <c r="B50" s="15"/>
      <c r="C50" s="16" t="str">
        <f>IF(AND(A50="",B50=""),"",IF(OR(A50="",NOT(ISNUMBER(B50)),B50&lt;0,B50&gt;1000000),"Check inputs","OK"))</f>
        <v/>
      </c>
    </row>
    <row r="51" spans="1:3" x14ac:dyDescent="0.25">
      <c r="A51" s="14"/>
      <c r="B51" s="15"/>
      <c r="C51" s="16" t="str">
        <f>IF(AND(A51="",B51=""),"",IF(OR(A51="",NOT(ISNUMBER(B51)),B51&lt;0,B51&gt;1000000),"Check inputs","OK"))</f>
        <v/>
      </c>
    </row>
  </sheetData>
  <mergeCells count="1">
    <mergeCell ref="A1:E1"/>
  </mergeCells>
  <conditionalFormatting sqref="C3:C51">
    <cfRule type="expression" dxfId="1" priority="1">
      <formula>AND(C3&lt;&gt;"",C3&lt;&gt;"OK")</formula>
    </cfRule>
  </conditionalFormatting>
  <dataValidations count="2">
    <dataValidation type="decimal" allowBlank="1" showErrorMessage="1" errorTitle="Invalid monthly cost" error="Enter a number between 0 and 1000000" sqref="B10:B51">
      <formula1>0</formula1>
      <formula2>1000000</formula2>
    </dataValidation>
    <dataValidation type="decimal" allowBlank="1" showErrorMessage="1" errorTitle="Invalid monthly cost" error="Enter a number between 0 and 1000000" sqref="B3:B51">
      <formula1>0</formula1>
      <formula2>1000000</formula2>
    </dataValidation>
  </dataValidations>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7"/>
  <sheetFormatPr defaultRowHeight="15" outlineLevelRow="0" outlineLevelCol="0" x14ac:dyDescent="55"/>
  <cols>
    <col min="1" max="1" width="34" customWidth="1"/>
    <col min="2" max="3" width="13" customWidth="1"/>
    <col min="4" max="4" width="26" customWidth="1"/>
  </cols>
  <sheetData>
    <row r="1" ht="24" customHeight="1" spans="1:4" x14ac:dyDescent="0.25">
      <c r="A1" s="11" t="s">
        <v>65</v>
      </c>
      <c r="B1" s="11"/>
      <c r="C1" s="11"/>
      <c r="D1" s="11"/>
    </row>
    <row r="2" ht="30" customHeight="1" spans="1:4" x14ac:dyDescent="0.25">
      <c r="A2" s="4" t="s">
        <v>66</v>
      </c>
      <c r="B2" s="4"/>
      <c r="C2" s="4"/>
      <c r="D2" s="4"/>
    </row>
    <row r="3" ht="24" customHeight="1" spans="1:4" x14ac:dyDescent="0.25">
      <c r="A3" s="12" t="s">
        <v>67</v>
      </c>
      <c r="B3" s="12" t="s">
        <v>68</v>
      </c>
      <c r="C3" s="12" t="s">
        <v>69</v>
      </c>
      <c r="D3" s="12" t="s">
        <v>70</v>
      </c>
    </row>
    <row r="4" ht="30" customHeight="1" spans="1:4" x14ac:dyDescent="0.25">
      <c r="A4" s="22" t="s">
        <v>71</v>
      </c>
      <c r="B4" s="23">
        <v>2</v>
      </c>
      <c r="C4" s="16" t="str">
        <f>IF(ISNUMBER(B4),IF(AND(B4&gt;=0,B4&lt;=50,INT(B4)=B4),"OK","Check inputs"),"Check inputs")</f>
        <v>OK</v>
      </c>
      <c r="D4" s="7" t="s">
        <v>72</v>
      </c>
    </row>
    <row r="5" ht="30" customHeight="1" spans="1:4" x14ac:dyDescent="0.25">
      <c r="A5" s="22" t="s">
        <v>73</v>
      </c>
      <c r="B5" s="24">
        <v>120</v>
      </c>
      <c r="C5" s="16" t="str">
        <f>IF(ISNUMBER(B5),IF(AND(B5&gt;=0,B5&lt;=400,OR(NOT(ISNUMBER(B10)),B5&lt;=B10)),"OK","Check inputs"),"Check inputs")</f>
        <v>OK</v>
      </c>
      <c r="D5" s="7" t="s">
        <v>74</v>
      </c>
    </row>
    <row r="6" ht="30" customHeight="1" spans="1:4" x14ac:dyDescent="0.25">
      <c r="A6" s="22" t="s">
        <v>75</v>
      </c>
      <c r="B6" s="25">
        <v>2</v>
      </c>
      <c r="C6" s="16" t="str">
        <f>IF(ISNUMBER(B6),IF(AND(B6&gt;=0.25,B6&lt;=40),"OK","Check inputs"),"Check inputs")</f>
        <v>OK</v>
      </c>
      <c r="D6" s="7" t="s">
        <v>76</v>
      </c>
    </row>
    <row r="7" ht="30" customHeight="1" spans="1:4" x14ac:dyDescent="0.25">
      <c r="A7" s="22" t="s">
        <v>77</v>
      </c>
      <c r="B7" s="26">
        <v>325</v>
      </c>
      <c r="C7" s="16" t="str">
        <f>IF(ISNUMBER(B7),IF(AND(B7&gt;=0,B7&lt;=100000),"OK","Check inputs"),"Check inputs")</f>
        <v>OK</v>
      </c>
      <c r="D7" s="7" t="s">
        <v>78</v>
      </c>
    </row>
    <row r="8" ht="30" customHeight="1" spans="1:4" x14ac:dyDescent="0.25">
      <c r="A8" s="22" t="s">
        <v>79</v>
      </c>
      <c r="B8" s="27">
        <v>0.3</v>
      </c>
      <c r="C8" s="16" t="str">
        <f>IF(ISNUMBER(B8),IF(AND(B8&gt;=0,B8&lt;=1),"OK","Check inputs"),"Check inputs")</f>
        <v>OK</v>
      </c>
      <c r="D8" s="7" t="s">
        <v>80</v>
      </c>
    </row>
    <row r="9" ht="30" customHeight="1" spans="1:4" x14ac:dyDescent="0.25">
      <c r="A9" s="22" t="s">
        <v>81</v>
      </c>
      <c r="B9" s="26">
        <v>30</v>
      </c>
      <c r="C9" s="16" t="str">
        <f>IF(ISNUMBER(B9),IF(AND(B9&gt;=0,B9&lt;=1000),"OK","Check inputs"),"Check inputs")</f>
        <v>OK</v>
      </c>
      <c r="D9" s="7" t="s">
        <v>82</v>
      </c>
    </row>
    <row r="10" ht="30" customHeight="1" spans="1:4" x14ac:dyDescent="0.25">
      <c r="A10" s="22" t="s">
        <v>83</v>
      </c>
      <c r="B10" s="24">
        <v>173</v>
      </c>
      <c r="C10" s="16" t="str">
        <f>IF(ISNUMBER(B10),IF(AND(B10&gt;=0,B10&lt;=400),"OK","Check inputs"),"Check inputs")</f>
        <v>OK</v>
      </c>
      <c r="D10" s="7" t="s">
        <v>84</v>
      </c>
    </row>
    <row r="11" ht="30" customHeight="1" spans="1:4" x14ac:dyDescent="0.25">
      <c r="A11" s="22" t="s">
        <v>85</v>
      </c>
      <c r="B11" s="28">
        <v>4000</v>
      </c>
      <c r="C11" s="16" t="str">
        <f>IF(ISNUMBER(B11),IF(AND(B11&gt;=0,B11&lt;=1000000),"OK","Check inputs"),"Check inputs")</f>
        <v>OK</v>
      </c>
      <c r="D11" s="7" t="s">
        <v>86</v>
      </c>
    </row>
    <row r="12" ht="30" customHeight="1" spans="1:4" x14ac:dyDescent="0.25">
      <c r="A12" s="22" t="s">
        <v>87</v>
      </c>
      <c r="B12" s="28">
        <v>25000</v>
      </c>
      <c r="C12" s="16" t="str">
        <f>IF(ISNUMBER(B12),IF(AND(B12&gt;=0,B12&lt;=100000000),"OK","Check inputs"),"Check inputs")</f>
        <v>OK</v>
      </c>
      <c r="D12" s="7" t="s">
        <v>88</v>
      </c>
    </row>
    <row r="13" ht="30" customHeight="1" spans="1:4" x14ac:dyDescent="0.25">
      <c r="A13" s="22" t="s">
        <v>89</v>
      </c>
      <c r="B13" s="28">
        <v>40000</v>
      </c>
      <c r="C13" s="16" t="str">
        <f>IF(ISNUMBER(B13),IF(AND(B13&gt;=0,B13&lt;=100000000),"OK","Check inputs"),"Check inputs")</f>
        <v>OK</v>
      </c>
      <c r="D13" s="7" t="s">
        <v>90</v>
      </c>
    </row>
    <row r="14" ht="30" customHeight="1" spans="1:4" x14ac:dyDescent="0.25">
      <c r="A14" s="22" t="s">
        <v>91</v>
      </c>
      <c r="B14" s="29">
        <v>0.09</v>
      </c>
      <c r="C14" s="16" t="str">
        <f>IF(ISNUMBER(B14),IF(AND(B14&gt;=0,B14&lt;=1),"OK","Check inputs"),"Check inputs")</f>
        <v>OK</v>
      </c>
      <c r="D14" s="7" t="s">
        <v>80</v>
      </c>
    </row>
    <row r="15" ht="30" customHeight="1" spans="1:4" x14ac:dyDescent="0.25">
      <c r="A15" s="22" t="s">
        <v>92</v>
      </c>
      <c r="B15" s="23">
        <v>5</v>
      </c>
      <c r="C15" s="16" t="str">
        <f>IF(ISNUMBER(B15),IF(AND(B15&gt;=1,B15&lt;=30,INT(B15)=B15),"OK","Check inputs"),"Check inputs")</f>
        <v>OK</v>
      </c>
      <c r="D15" s="7" t="s">
        <v>93</v>
      </c>
    </row>
    <row r="17" ht="30" customHeight="1" spans="1:4" x14ac:dyDescent="0.25">
      <c r="A17" s="22" t="s">
        <v>94</v>
      </c>
      <c r="B17" s="30">
        <f>IF(AND(ISNUMBER(B5),ISNUMBER(B6)),IF(B6&gt;0,B5/B6,"n/a"),"n/a")</f>
        <v>60</v>
      </c>
      <c r="D17" t="s">
        <v>95</v>
      </c>
    </row>
  </sheetData>
  <mergeCells count="2">
    <mergeCell ref="A1:D1"/>
    <mergeCell ref="A2:D2"/>
  </mergeCells>
  <conditionalFormatting sqref="C4:C15">
    <cfRule type="expression" dxfId="2" priority="1">
      <formula>AND(C4&lt;&gt;"",C4&lt;&gt;"OK")</formula>
    </cfRule>
  </conditionalFormatting>
  <dataValidations count="11">
    <dataValidation type="decimal" allowBlank="1" showErrorMessage="1" errorTitle="Invalid number" error="Enter a number between 0 and 400" sqref="B10">
      <formula1>0</formula1>
      <formula2>400</formula2>
    </dataValidation>
    <dataValidation type="decimal" allowBlank="1" showErrorMessage="1" errorTitle="Invalid number" error="Enter a number between 0 and 1000000" sqref="B11">
      <formula1>0</formula1>
      <formula2>1000000</formula2>
    </dataValidation>
    <dataValidation type="decimal" allowBlank="1" showErrorMessage="1" errorTitle="Invalid number" error="Enter a number between 0 and 100000000" sqref="B12:B13">
      <formula1>0</formula1>
      <formula2>100000000</formula2>
    </dataValidation>
    <dataValidation type="decimal" allowBlank="1" showErrorMessage="1" errorTitle="Invalid number" error="Enter a number between 0 and 1" sqref="B14">
      <formula1>0</formula1>
      <formula2>1</formula2>
    </dataValidation>
    <dataValidation type="whole" allowBlank="1" showErrorMessage="1" errorTitle="Invalid number" error="Enter a whole number from 1 to 30." sqref="B15">
      <formula1>1</formula1>
      <formula2>30</formula2>
    </dataValidation>
    <dataValidation type="whole" allowBlank="1" showErrorMessage="1" errorTitle="Invalid number" error="Enter a whole number from 0 to 50." sqref="B4">
      <formula1>0</formula1>
      <formula2>50</formula2>
    </dataValidation>
    <dataValidation type="decimal" allowBlank="1" showErrorMessage="1" errorTitle="Invalid number" error="Enter a number between 0 and 400" sqref="B5">
      <formula1>0</formula1>
      <formula2>400</formula2>
    </dataValidation>
    <dataValidation type="decimal" allowBlank="1" showErrorMessage="1" errorTitle="Invalid number" error="Enter a number between 0.25 and 40" sqref="B6">
      <formula1>0.25</formula1>
      <formula2>40</formula2>
    </dataValidation>
    <dataValidation type="decimal" allowBlank="1" showErrorMessage="1" errorTitle="Invalid number" error="Enter a number between 0 and 100000" sqref="B7">
      <formula1>0</formula1>
      <formula2>100000</formula2>
    </dataValidation>
    <dataValidation type="decimal" allowBlank="1" showErrorMessage="1" errorTitle="Invalid number" error="Enter a number between 0 and 1" sqref="B8">
      <formula1>0</formula1>
      <formula2>1</formula2>
    </dataValidation>
    <dataValidation type="decimal" allowBlank="1" showErrorMessage="1" errorTitle="Invalid number" error="Enter a number between 0 and 1000" sqref="B9">
      <formula1>0</formula1>
      <formula2>1000</formula2>
    </dataValidation>
  </dataValidations>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9"/>
  <sheetViews>
    <sheetView workbookViewId="0">
      <pane xSplit="1" ySplit="3" topLeftCell="B4" activePane="bottomRight" state="frozen"/>
      <selection pane="bottomRight"/>
    </sheetView>
  </sheetViews>
  <sheetFormatPr defaultRowHeight="15" outlineLevelRow="0" outlineLevelCol="0" x14ac:dyDescent="55"/>
  <cols>
    <col min="1" max="1" width="26" customWidth="1"/>
    <col min="2" max="13" width="11" customWidth="1"/>
    <col min="14" max="14" width="12" customWidth="1"/>
  </cols>
  <sheetData>
    <row r="1" ht="24" customHeight="1" spans="1:7" x14ac:dyDescent="0.25">
      <c r="A1" s="11" t="s">
        <v>96</v>
      </c>
      <c r="B1" s="11"/>
      <c r="C1" s="11"/>
      <c r="D1" s="11"/>
      <c r="E1" s="11"/>
      <c r="F1" s="11"/>
      <c r="G1" s="11"/>
    </row>
    <row r="2" ht="30" customHeight="1" spans="1:7" x14ac:dyDescent="0.25">
      <c r="A2" s="4" t="s">
        <v>97</v>
      </c>
      <c r="B2" s="4"/>
      <c r="C2" s="4"/>
      <c r="D2" s="4"/>
      <c r="E2" s="4"/>
      <c r="F2" s="4"/>
      <c r="G2" s="4"/>
    </row>
    <row r="3" ht="24" customHeight="1" spans="1:14" x14ac:dyDescent="0.25">
      <c r="A3" s="12" t="s">
        <v>24</v>
      </c>
      <c r="B3" s="12" t="s">
        <v>98</v>
      </c>
      <c r="C3" s="12" t="s">
        <v>99</v>
      </c>
      <c r="D3" s="12" t="s">
        <v>100</v>
      </c>
      <c r="E3" s="12" t="s">
        <v>101</v>
      </c>
      <c r="F3" s="12" t="s">
        <v>102</v>
      </c>
      <c r="G3" s="12" t="s">
        <v>103</v>
      </c>
      <c r="H3" s="12" t="s">
        <v>104</v>
      </c>
      <c r="I3" s="12" t="s">
        <v>105</v>
      </c>
      <c r="J3" s="12" t="s">
        <v>106</v>
      </c>
      <c r="K3" s="12" t="s">
        <v>107</v>
      </c>
      <c r="L3" s="12" t="s">
        <v>108</v>
      </c>
      <c r="M3" s="12" t="s">
        <v>109</v>
      </c>
      <c r="N3" s="12" t="s">
        <v>110</v>
      </c>
    </row>
    <row r="4" spans="1:13" x14ac:dyDescent="0.25">
      <c r="A4" s="31" t="s">
        <v>111</v>
      </c>
      <c r="B4" s="32">
        <v>0.35</v>
      </c>
      <c r="C4" s="32">
        <v>0.45</v>
      </c>
      <c r="D4" s="32">
        <v>0.55</v>
      </c>
      <c r="E4" s="32">
        <v>0.65</v>
      </c>
      <c r="F4" s="32">
        <v>0.7</v>
      </c>
      <c r="G4" s="32">
        <v>0.8</v>
      </c>
      <c r="H4" s="32">
        <v>0.9</v>
      </c>
      <c r="I4" s="32">
        <v>1</v>
      </c>
      <c r="J4" s="32">
        <v>1</v>
      </c>
      <c r="K4" s="32">
        <v>1</v>
      </c>
      <c r="L4" s="32">
        <v>1</v>
      </c>
      <c r="M4" s="32">
        <v>1</v>
      </c>
    </row>
    <row r="5" spans="1:13" x14ac:dyDescent="0.25">
      <c r="A5" s="31" t="s">
        <v>112</v>
      </c>
      <c r="B5" s="16" t="str">
        <f>IF(ISNUMBER(B4),IF(AND(B4&gt;=0,B4&lt;=1),"OK","Check inputs"),"Check inputs")</f>
        <v>OK</v>
      </c>
      <c r="C5" s="16" t="str">
        <f>IF(ISNUMBER(C4),IF(AND(C4&gt;=0,C4&lt;=1),"OK","Check inputs"),"Check inputs")</f>
        <v>OK</v>
      </c>
      <c r="D5" s="16" t="str">
        <f>IF(ISNUMBER(D4),IF(AND(D4&gt;=0,D4&lt;=1),"OK","Check inputs"),"Check inputs")</f>
        <v>OK</v>
      </c>
      <c r="E5" s="16" t="str">
        <f>IF(ISNUMBER(E4),IF(AND(E4&gt;=0,E4&lt;=1),"OK","Check inputs"),"Check inputs")</f>
        <v>OK</v>
      </c>
      <c r="F5" s="16" t="str">
        <f>IF(ISNUMBER(F4),IF(AND(F4&gt;=0,F4&lt;=1),"OK","Check inputs"),"Check inputs")</f>
        <v>OK</v>
      </c>
      <c r="G5" s="16" t="str">
        <f>IF(ISNUMBER(G4),IF(AND(G4&gt;=0,G4&lt;=1),"OK","Check inputs"),"Check inputs")</f>
        <v>OK</v>
      </c>
      <c r="H5" s="16" t="str">
        <f>IF(ISNUMBER(H4),IF(AND(H4&gt;=0,H4&lt;=1),"OK","Check inputs"),"Check inputs")</f>
        <v>OK</v>
      </c>
      <c r="I5" s="16" t="str">
        <f>IF(ISNUMBER(I4),IF(AND(I4&gt;=0,I4&lt;=1),"OK","Check inputs"),"Check inputs")</f>
        <v>OK</v>
      </c>
      <c r="J5" s="16" t="str">
        <f>IF(ISNUMBER(J4),IF(AND(J4&gt;=0,J4&lt;=1),"OK","Check inputs"),"Check inputs")</f>
        <v>OK</v>
      </c>
      <c r="K5" s="16" t="str">
        <f>IF(ISNUMBER(K4),IF(AND(K4&gt;=0,K4&lt;=1),"OK","Check inputs"),"Check inputs")</f>
        <v>OK</v>
      </c>
      <c r="L5" s="16" t="str">
        <f>IF(ISNUMBER(L4),IF(AND(L4&gt;=0,L4&lt;=1),"OK","Check inputs"),"Check inputs")</f>
        <v>OK</v>
      </c>
      <c r="M5" s="16" t="str">
        <f>IF(ISNUMBER(M4),IF(AND(M4&gt;=0,M4&lt;=1),"OK","Check inputs"),"Check inputs")</f>
        <v>OK</v>
      </c>
    </row>
    <row r="6" spans="1:14" x14ac:dyDescent="0.25">
      <c r="A6" s="31" t="s">
        <v>113</v>
      </c>
      <c r="B6" s="33">
        <f>IF(Dashboard!$B$18&lt;&gt;"OK","Check data",IF('Pricing and Capacity'!$B$6&gt;0,'Pricing and Capacity'!$B$4*'Pricing and Capacity'!$B$5/'Pricing and Capacity'!$B$6*B4,"n/a"))</f>
        <v>42</v>
      </c>
      <c r="C6" s="33">
        <f>IF(Dashboard!$B$18&lt;&gt;"OK","Check data",IF('Pricing and Capacity'!$B$6&gt;0,'Pricing and Capacity'!$B$4*'Pricing and Capacity'!$B$5/'Pricing and Capacity'!$B$6*C4,"n/a"))</f>
        <v>54</v>
      </c>
      <c r="D6" s="33">
        <f>IF(Dashboard!$B$18&lt;&gt;"OK","Check data",IF('Pricing and Capacity'!$B$6&gt;0,'Pricing and Capacity'!$B$4*'Pricing and Capacity'!$B$5/'Pricing and Capacity'!$B$6*D4,"n/a"))</f>
        <v>66</v>
      </c>
      <c r="E6" s="33">
        <f>IF(Dashboard!$B$18&lt;&gt;"OK","Check data",IF('Pricing and Capacity'!$B$6&gt;0,'Pricing and Capacity'!$B$4*'Pricing and Capacity'!$B$5/'Pricing and Capacity'!$B$6*E4,"n/a"))</f>
        <v>78</v>
      </c>
      <c r="F6" s="33">
        <f>IF(Dashboard!$B$18&lt;&gt;"OK","Check data",IF('Pricing and Capacity'!$B$6&gt;0,'Pricing and Capacity'!$B$4*'Pricing and Capacity'!$B$5/'Pricing and Capacity'!$B$6*F4,"n/a"))</f>
        <v>84</v>
      </c>
      <c r="G6" s="33">
        <f>IF(Dashboard!$B$18&lt;&gt;"OK","Check data",IF('Pricing and Capacity'!$B$6&gt;0,'Pricing and Capacity'!$B$4*'Pricing and Capacity'!$B$5/'Pricing and Capacity'!$B$6*G4,"n/a"))</f>
        <v>96</v>
      </c>
      <c r="H6" s="33">
        <f>IF(Dashboard!$B$18&lt;&gt;"OK","Check data",IF('Pricing and Capacity'!$B$6&gt;0,'Pricing and Capacity'!$B$4*'Pricing and Capacity'!$B$5/'Pricing and Capacity'!$B$6*H4,"n/a"))</f>
        <v>108</v>
      </c>
      <c r="I6" s="33">
        <f>IF(Dashboard!$B$18&lt;&gt;"OK","Check data",IF('Pricing and Capacity'!$B$6&gt;0,'Pricing and Capacity'!$B$4*'Pricing and Capacity'!$B$5/'Pricing and Capacity'!$B$6*I4,"n/a"))</f>
        <v>120</v>
      </c>
      <c r="J6" s="33">
        <f>IF(Dashboard!$B$18&lt;&gt;"OK","Check data",IF('Pricing and Capacity'!$B$6&gt;0,'Pricing and Capacity'!$B$4*'Pricing and Capacity'!$B$5/'Pricing and Capacity'!$B$6*J4,"n/a"))</f>
        <v>120</v>
      </c>
      <c r="K6" s="33">
        <f>IF(Dashboard!$B$18&lt;&gt;"OK","Check data",IF('Pricing and Capacity'!$B$6&gt;0,'Pricing and Capacity'!$B$4*'Pricing and Capacity'!$B$5/'Pricing and Capacity'!$B$6*K4,"n/a"))</f>
        <v>120</v>
      </c>
      <c r="L6" s="33">
        <f>IF(Dashboard!$B$18&lt;&gt;"OK","Check data",IF('Pricing and Capacity'!$B$6&gt;0,'Pricing and Capacity'!$B$4*'Pricing and Capacity'!$B$5/'Pricing and Capacity'!$B$6*L4,"n/a"))</f>
        <v>120</v>
      </c>
      <c r="M6" s="33">
        <f>IF(Dashboard!$B$18&lt;&gt;"OK","Check data",IF('Pricing and Capacity'!$B$6&gt;0,'Pricing and Capacity'!$B$4*'Pricing and Capacity'!$B$5/'Pricing and Capacity'!$B$6*M4,"n/a"))</f>
        <v>120</v>
      </c>
      <c r="N6" s="34">
        <f>IF(Dashboard!$B$18&lt;&gt;"OK","Check data",SUM(B6:M6))</f>
        <v>1128</v>
      </c>
    </row>
    <row r="7" spans="1:14" x14ac:dyDescent="0.25">
      <c r="A7" s="31" t="s">
        <v>114</v>
      </c>
      <c r="B7" s="35">
        <f>IF(Dashboard!$B$18&lt;&gt;"OK","Check data",B6*'Pricing and Capacity'!$B$7)</f>
        <v>13650</v>
      </c>
      <c r="C7" s="35">
        <f>IF(Dashboard!$B$18&lt;&gt;"OK","Check data",C6*'Pricing and Capacity'!$B$7)</f>
        <v>17550</v>
      </c>
      <c r="D7" s="35">
        <f>IF(Dashboard!$B$18&lt;&gt;"OK","Check data",D6*'Pricing and Capacity'!$B$7)</f>
        <v>21450</v>
      </c>
      <c r="E7" s="35">
        <f>IF(Dashboard!$B$18&lt;&gt;"OK","Check data",E6*'Pricing and Capacity'!$B$7)</f>
        <v>25350</v>
      </c>
      <c r="F7" s="35">
        <f>IF(Dashboard!$B$18&lt;&gt;"OK","Check data",F6*'Pricing and Capacity'!$B$7)</f>
        <v>27300</v>
      </c>
      <c r="G7" s="35">
        <f>IF(Dashboard!$B$18&lt;&gt;"OK","Check data",G6*'Pricing and Capacity'!$B$7)</f>
        <v>31200</v>
      </c>
      <c r="H7" s="35">
        <f>IF(Dashboard!$B$18&lt;&gt;"OK","Check data",H6*'Pricing and Capacity'!$B$7)</f>
        <v>35100</v>
      </c>
      <c r="I7" s="35">
        <f>IF(Dashboard!$B$18&lt;&gt;"OK","Check data",I6*'Pricing and Capacity'!$B$7)</f>
        <v>39000</v>
      </c>
      <c r="J7" s="35">
        <f>IF(Dashboard!$B$18&lt;&gt;"OK","Check data",J6*'Pricing and Capacity'!$B$7)</f>
        <v>39000</v>
      </c>
      <c r="K7" s="35">
        <f>IF(Dashboard!$B$18&lt;&gt;"OK","Check data",K6*'Pricing and Capacity'!$B$7)</f>
        <v>39000</v>
      </c>
      <c r="L7" s="35">
        <f>IF(Dashboard!$B$18&lt;&gt;"OK","Check data",L6*'Pricing and Capacity'!$B$7)</f>
        <v>39000</v>
      </c>
      <c r="M7" s="35">
        <f>IF(Dashboard!$B$18&lt;&gt;"OK","Check data",M6*'Pricing and Capacity'!$B$7)</f>
        <v>39000</v>
      </c>
      <c r="N7" s="36">
        <f>IF(Dashboard!$B$18&lt;&gt;"OK","Check data",SUM(B7:M7))</f>
        <v>366600</v>
      </c>
    </row>
    <row r="8" spans="1:14" x14ac:dyDescent="0.25">
      <c r="A8" s="31" t="s">
        <v>115</v>
      </c>
      <c r="B8" s="35">
        <f>IF(Dashboard!$B$18&lt;&gt;"OK","Check data",B7*'Pricing and Capacity'!$B$8)</f>
        <v>4095</v>
      </c>
      <c r="C8" s="35">
        <f>IF(Dashboard!$B$18&lt;&gt;"OK","Check data",C7*'Pricing and Capacity'!$B$8)</f>
        <v>5265</v>
      </c>
      <c r="D8" s="35">
        <f>IF(Dashboard!$B$18&lt;&gt;"OK","Check data",D7*'Pricing and Capacity'!$B$8)</f>
        <v>6435</v>
      </c>
      <c r="E8" s="35">
        <f>IF(Dashboard!$B$18&lt;&gt;"OK","Check data",E7*'Pricing and Capacity'!$B$8)</f>
        <v>7605</v>
      </c>
      <c r="F8" s="35">
        <f>IF(Dashboard!$B$18&lt;&gt;"OK","Check data",F7*'Pricing and Capacity'!$B$8)</f>
        <v>8190</v>
      </c>
      <c r="G8" s="35">
        <f>IF(Dashboard!$B$18&lt;&gt;"OK","Check data",G7*'Pricing and Capacity'!$B$8)</f>
        <v>9360</v>
      </c>
      <c r="H8" s="35">
        <f>IF(Dashboard!$B$18&lt;&gt;"OK","Check data",H7*'Pricing and Capacity'!$B$8)</f>
        <v>10530</v>
      </c>
      <c r="I8" s="35">
        <f>IF(Dashboard!$B$18&lt;&gt;"OK","Check data",I7*'Pricing and Capacity'!$B$8)</f>
        <v>11700</v>
      </c>
      <c r="J8" s="35">
        <f>IF(Dashboard!$B$18&lt;&gt;"OK","Check data",J7*'Pricing and Capacity'!$B$8)</f>
        <v>11700</v>
      </c>
      <c r="K8" s="35">
        <f>IF(Dashboard!$B$18&lt;&gt;"OK","Check data",K7*'Pricing and Capacity'!$B$8)</f>
        <v>11700</v>
      </c>
      <c r="L8" s="35">
        <f>IF(Dashboard!$B$18&lt;&gt;"OK","Check data",L7*'Pricing and Capacity'!$B$8)</f>
        <v>11700</v>
      </c>
      <c r="M8" s="35">
        <f>IF(Dashboard!$B$18&lt;&gt;"OK","Check data",M7*'Pricing and Capacity'!$B$8)</f>
        <v>11700</v>
      </c>
      <c r="N8" s="36">
        <f>IF(Dashboard!$B$18&lt;&gt;"OK","Check data",SUM(B8:M8))</f>
        <v>109980</v>
      </c>
    </row>
    <row r="9" spans="1:14" x14ac:dyDescent="0.25">
      <c r="A9" s="31" t="s">
        <v>116</v>
      </c>
      <c r="B9" s="35">
        <f>IF(Dashboard!$B$18&lt;&gt;"OK","Check data",'Pricing and Capacity'!$B$4*'Pricing and Capacity'!$B$9*'Pricing and Capacity'!$B$10)</f>
        <v>10380</v>
      </c>
      <c r="C9" s="35">
        <f>IF(Dashboard!$B$18&lt;&gt;"OK","Check data",'Pricing and Capacity'!$B$4*'Pricing and Capacity'!$B$9*'Pricing and Capacity'!$B$10)</f>
        <v>10380</v>
      </c>
      <c r="D9" s="35">
        <f>IF(Dashboard!$B$18&lt;&gt;"OK","Check data",'Pricing and Capacity'!$B$4*'Pricing and Capacity'!$B$9*'Pricing and Capacity'!$B$10)</f>
        <v>10380</v>
      </c>
      <c r="E9" s="35">
        <f>IF(Dashboard!$B$18&lt;&gt;"OK","Check data",'Pricing and Capacity'!$B$4*'Pricing and Capacity'!$B$9*'Pricing and Capacity'!$B$10)</f>
        <v>10380</v>
      </c>
      <c r="F9" s="35">
        <f>IF(Dashboard!$B$18&lt;&gt;"OK","Check data",'Pricing and Capacity'!$B$4*'Pricing and Capacity'!$B$9*'Pricing and Capacity'!$B$10)</f>
        <v>10380</v>
      </c>
      <c r="G9" s="35">
        <f>IF(Dashboard!$B$18&lt;&gt;"OK","Check data",'Pricing and Capacity'!$B$4*'Pricing and Capacity'!$B$9*'Pricing and Capacity'!$B$10)</f>
        <v>10380</v>
      </c>
      <c r="H9" s="35">
        <f>IF(Dashboard!$B$18&lt;&gt;"OK","Check data",'Pricing and Capacity'!$B$4*'Pricing and Capacity'!$B$9*'Pricing and Capacity'!$B$10)</f>
        <v>10380</v>
      </c>
      <c r="I9" s="35">
        <f>IF(Dashboard!$B$18&lt;&gt;"OK","Check data",'Pricing and Capacity'!$B$4*'Pricing and Capacity'!$B$9*'Pricing and Capacity'!$B$10)</f>
        <v>10380</v>
      </c>
      <c r="J9" s="35">
        <f>IF(Dashboard!$B$18&lt;&gt;"OK","Check data",'Pricing and Capacity'!$B$4*'Pricing and Capacity'!$B$9*'Pricing and Capacity'!$B$10)</f>
        <v>10380</v>
      </c>
      <c r="K9" s="35">
        <f>IF(Dashboard!$B$18&lt;&gt;"OK","Check data",'Pricing and Capacity'!$B$4*'Pricing and Capacity'!$B$9*'Pricing and Capacity'!$B$10)</f>
        <v>10380</v>
      </c>
      <c r="L9" s="35">
        <f>IF(Dashboard!$B$18&lt;&gt;"OK","Check data",'Pricing and Capacity'!$B$4*'Pricing and Capacity'!$B$9*'Pricing and Capacity'!$B$10)</f>
        <v>10380</v>
      </c>
      <c r="M9" s="35">
        <f>IF(Dashboard!$B$18&lt;&gt;"OK","Check data",'Pricing and Capacity'!$B$4*'Pricing and Capacity'!$B$9*'Pricing and Capacity'!$B$10)</f>
        <v>10380</v>
      </c>
      <c r="N9" s="36">
        <f>IF(Dashboard!$B$18&lt;&gt;"OK","Check data",SUM(B9:M9))</f>
        <v>124560</v>
      </c>
    </row>
    <row r="10" spans="1:14" x14ac:dyDescent="0.25">
      <c r="A10" s="37" t="s">
        <v>117</v>
      </c>
      <c r="B10" s="35">
        <f>IF(Dashboard!$B$18&lt;&gt;"OK","Check data",B7-B8-B9)</f>
        <v>-825</v>
      </c>
      <c r="C10" s="35">
        <f>IF(Dashboard!$B$18&lt;&gt;"OK","Check data",C7-C8-C9)</f>
        <v>1905</v>
      </c>
      <c r="D10" s="35">
        <f>IF(Dashboard!$B$18&lt;&gt;"OK","Check data",D7-D8-D9)</f>
        <v>4635</v>
      </c>
      <c r="E10" s="35">
        <f>IF(Dashboard!$B$18&lt;&gt;"OK","Check data",E7-E8-E9)</f>
        <v>7365</v>
      </c>
      <c r="F10" s="35">
        <f>IF(Dashboard!$B$18&lt;&gt;"OK","Check data",F7-F8-F9)</f>
        <v>8730</v>
      </c>
      <c r="G10" s="35">
        <f>IF(Dashboard!$B$18&lt;&gt;"OK","Check data",G7-G8-G9)</f>
        <v>11460</v>
      </c>
      <c r="H10" s="35">
        <f>IF(Dashboard!$B$18&lt;&gt;"OK","Check data",H7-H8-H9)</f>
        <v>14190</v>
      </c>
      <c r="I10" s="35">
        <f>IF(Dashboard!$B$18&lt;&gt;"OK","Check data",I7-I8-I9)</f>
        <v>16920</v>
      </c>
      <c r="J10" s="35">
        <f>IF(Dashboard!$B$18&lt;&gt;"OK","Check data",J7-J8-J9)</f>
        <v>16920</v>
      </c>
      <c r="K10" s="35">
        <f>IF(Dashboard!$B$18&lt;&gt;"OK","Check data",K7-K8-K9)</f>
        <v>16920</v>
      </c>
      <c r="L10" s="35">
        <f>IF(Dashboard!$B$18&lt;&gt;"OK","Check data",L7-L8-L9)</f>
        <v>16920</v>
      </c>
      <c r="M10" s="35">
        <f>IF(Dashboard!$B$18&lt;&gt;"OK","Check data",M7-M8-M9)</f>
        <v>16920</v>
      </c>
      <c r="N10" s="36">
        <f>IF(Dashboard!$B$18&lt;&gt;"OK","Check data",SUM(B10:M10))</f>
        <v>132060</v>
      </c>
    </row>
    <row r="11" spans="1:14" x14ac:dyDescent="0.25">
      <c r="A11" s="31" t="s">
        <v>8</v>
      </c>
      <c r="B11" s="35">
        <f>IF(Dashboard!$B$18&lt;&gt;"OK","Check data",Overhead!$E$3)</f>
        <v>4900</v>
      </c>
      <c r="C11" s="35">
        <f>IF(Dashboard!$B$18&lt;&gt;"OK","Check data",Overhead!$E$3)</f>
        <v>4900</v>
      </c>
      <c r="D11" s="35">
        <f>IF(Dashboard!$B$18&lt;&gt;"OK","Check data",Overhead!$E$3)</f>
        <v>4900</v>
      </c>
      <c r="E11" s="35">
        <f>IF(Dashboard!$B$18&lt;&gt;"OK","Check data",Overhead!$E$3)</f>
        <v>4900</v>
      </c>
      <c r="F11" s="35">
        <f>IF(Dashboard!$B$18&lt;&gt;"OK","Check data",Overhead!$E$3)</f>
        <v>4900</v>
      </c>
      <c r="G11" s="35">
        <f>IF(Dashboard!$B$18&lt;&gt;"OK","Check data",Overhead!$E$3)</f>
        <v>4900</v>
      </c>
      <c r="H11" s="35">
        <f>IF(Dashboard!$B$18&lt;&gt;"OK","Check data",Overhead!$E$3)</f>
        <v>4900</v>
      </c>
      <c r="I11" s="35">
        <f>IF(Dashboard!$B$18&lt;&gt;"OK","Check data",Overhead!$E$3)</f>
        <v>4900</v>
      </c>
      <c r="J11" s="35">
        <f>IF(Dashboard!$B$18&lt;&gt;"OK","Check data",Overhead!$E$3)</f>
        <v>4900</v>
      </c>
      <c r="K11" s="35">
        <f>IF(Dashboard!$B$18&lt;&gt;"OK","Check data",Overhead!$E$3)</f>
        <v>4900</v>
      </c>
      <c r="L11" s="35">
        <f>IF(Dashboard!$B$18&lt;&gt;"OK","Check data",Overhead!$E$3)</f>
        <v>4900</v>
      </c>
      <c r="M11" s="35">
        <f>IF(Dashboard!$B$18&lt;&gt;"OK","Check data",Overhead!$E$3)</f>
        <v>4900</v>
      </c>
      <c r="N11" s="36">
        <f>IF(Dashboard!$B$18&lt;&gt;"OK","Check data",SUM(B11:M11))</f>
        <v>58800</v>
      </c>
    </row>
    <row r="12" spans="1:14" x14ac:dyDescent="0.25">
      <c r="A12" s="31" t="s">
        <v>118</v>
      </c>
      <c r="B12" s="35">
        <f>IF(Dashboard!$B$18&lt;&gt;"OK","Check data",IF(OR('Pricing and Capacity'!$B$13=0,'Pricing and Capacity'!$B$14=0),0,-IPMT('Pricing and Capacity'!$B$14/12,1,'Pricing and Capacity'!$B$15*12,'Pricing and Capacity'!$B$13)))</f>
        <v>300</v>
      </c>
      <c r="C12" s="35">
        <f>IF(Dashboard!$B$18&lt;&gt;"OK","Check data",IF(OR('Pricing and Capacity'!$B$13=0,'Pricing and Capacity'!$B$14=0),0,-IPMT('Pricing and Capacity'!$B$14/12,2,'Pricing and Capacity'!$B$15*12,'Pricing and Capacity'!$B$13)))</f>
        <v>296.022493432094</v>
      </c>
      <c r="D12" s="35">
        <f>IF(Dashboard!$B$18&lt;&gt;"OK","Check data",IF(OR('Pricing and Capacity'!$B$13=0,'Pricing and Capacity'!$B$14=0),0,-IPMT('Pricing and Capacity'!$B$14/12,3,'Pricing and Capacity'!$B$15*12,'Pricing and Capacity'!$B$13)))</f>
        <v>292.015155564928</v>
      </c>
      <c r="E12" s="35">
        <f>IF(Dashboard!$B$18&lt;&gt;"OK","Check data",IF(OR('Pricing and Capacity'!$B$13=0,'Pricing and Capacity'!$B$14=0),0,-IPMT('Pricing and Capacity'!$B$14/12,4,'Pricing and Capacity'!$B$15*12,'Pricing and Capacity'!$B$13)))</f>
        <v>287.977762663759</v>
      </c>
      <c r="F12" s="35">
        <f>IF(Dashboard!$B$18&lt;&gt;"OK","Check data",IF(OR('Pricing and Capacity'!$B$13=0,'Pricing and Capacity'!$B$14=0),0,-IPMT('Pricing and Capacity'!$B$14/12,5,'Pricing and Capacity'!$B$15*12,'Pricing and Capacity'!$B$13)))</f>
        <v>283.910089315831</v>
      </c>
      <c r="G12" s="35">
        <f>IF(Dashboard!$B$18&lt;&gt;"OK","Check data",IF(OR('Pricing and Capacity'!$B$13=0,'Pricing and Capacity'!$B$14=0),0,-IPMT('Pricing and Capacity'!$B$14/12,6,'Pricing and Capacity'!$B$15*12,'Pricing and Capacity'!$B$13)))</f>
        <v>279.811908417793</v>
      </c>
      <c r="H12" s="35">
        <f>IF(Dashboard!$B$18&lt;&gt;"OK","Check data",IF(OR('Pricing and Capacity'!$B$13=0,'Pricing and Capacity'!$B$14=0),0,-IPMT('Pricing and Capacity'!$B$14/12,7,'Pricing and Capacity'!$B$15*12,'Pricing and Capacity'!$B$13)))</f>
        <v>275.682991163021</v>
      </c>
      <c r="I12" s="35">
        <f>IF(Dashboard!$B$18&lt;&gt;"OK","Check data",IF(OR('Pricing and Capacity'!$B$13=0,'Pricing and Capacity'!$B$14=0),0,-IPMT('Pricing and Capacity'!$B$14/12,8,'Pricing and Capacity'!$B$15*12,'Pricing and Capacity'!$B$13)))</f>
        <v>271.523107028837</v>
      </c>
      <c r="J12" s="35">
        <f>IF(Dashboard!$B$18&lt;&gt;"OK","Check data",IF(OR('Pricing and Capacity'!$B$13=0,'Pricing and Capacity'!$B$14=0),0,-IPMT('Pricing and Capacity'!$B$14/12,9,'Pricing and Capacity'!$B$15*12,'Pricing and Capacity'!$B$13)))</f>
        <v>267.332023763647</v>
      </c>
      <c r="K12" s="35">
        <f>IF(Dashboard!$B$18&lt;&gt;"OK","Check data",IF(OR('Pricing and Capacity'!$B$13=0,'Pricing and Capacity'!$B$14=0),0,-IPMT('Pricing and Capacity'!$B$14/12,10,'Pricing and Capacity'!$B$15*12,'Pricing and Capacity'!$B$13)))</f>
        <v>263.109507373968</v>
      </c>
      <c r="L12" s="35">
        <f>IF(Dashboard!$B$18&lt;&gt;"OK","Check data",IF(OR('Pricing and Capacity'!$B$13=0,'Pricing and Capacity'!$B$14=0),0,-IPMT('Pricing and Capacity'!$B$14/12,11,'Pricing and Capacity'!$B$15*12,'Pricing and Capacity'!$B$13)))</f>
        <v>258.855322111367</v>
      </c>
      <c r="M12" s="35">
        <f>IF(Dashboard!$B$18&lt;&gt;"OK","Check data",IF(OR('Pricing and Capacity'!$B$13=0,'Pricing and Capacity'!$B$14=0),0,-IPMT('Pricing and Capacity'!$B$14/12,12,'Pricing and Capacity'!$B$15*12,'Pricing and Capacity'!$B$13)))</f>
        <v>254.569230459296</v>
      </c>
      <c r="N12" s="36">
        <f>IF(Dashboard!$B$18&lt;&gt;"OK","Check data",SUM(B12:M12))</f>
        <v>3330.80959129454</v>
      </c>
    </row>
    <row r="13" spans="1:14" x14ac:dyDescent="0.25">
      <c r="A13" s="37" t="s">
        <v>119</v>
      </c>
      <c r="B13" s="36">
        <f>IF(Dashboard!$B$18&lt;&gt;"OK","Check data",B10-B11-B12)</f>
        <v>-6025</v>
      </c>
      <c r="C13" s="36">
        <f>IF(Dashboard!$B$18&lt;&gt;"OK","Check data",C10-C11-C12)</f>
        <v>-3291.02249343209</v>
      </c>
      <c r="D13" s="36">
        <f>IF(Dashboard!$B$18&lt;&gt;"OK","Check data",D10-D11-D12)</f>
        <v>-557.015155564928</v>
      </c>
      <c r="E13" s="36">
        <f>IF(Dashboard!$B$18&lt;&gt;"OK","Check data",E10-E11-E12)</f>
        <v>2177.02223733624</v>
      </c>
      <c r="F13" s="36">
        <f>IF(Dashboard!$B$18&lt;&gt;"OK","Check data",F10-F11-F12)</f>
        <v>3546.08991068417</v>
      </c>
      <c r="G13" s="36">
        <f>IF(Dashboard!$B$18&lt;&gt;"OK","Check data",G10-G11-G12)</f>
        <v>6280.18809158221</v>
      </c>
      <c r="H13" s="36">
        <f>IF(Dashboard!$B$18&lt;&gt;"OK","Check data",H10-H11-H12)</f>
        <v>9014.31700883698</v>
      </c>
      <c r="I13" s="36">
        <f>IF(Dashboard!$B$18&lt;&gt;"OK","Check data",I10-I11-I12)</f>
        <v>11748.4768929712</v>
      </c>
      <c r="J13" s="36">
        <f>IF(Dashboard!$B$18&lt;&gt;"OK","Check data",J10-J11-J12)</f>
        <v>11752.6679762364</v>
      </c>
      <c r="K13" s="36">
        <f>IF(Dashboard!$B$18&lt;&gt;"OK","Check data",K10-K11-K12)</f>
        <v>11756.890492626</v>
      </c>
      <c r="L13" s="36">
        <f>IF(Dashboard!$B$18&lt;&gt;"OK","Check data",L10-L11-L12)</f>
        <v>11761.1446778886</v>
      </c>
      <c r="M13" s="36">
        <f>IF(Dashboard!$B$18&lt;&gt;"OK","Check data",M10-M11-M12)</f>
        <v>11765.4307695407</v>
      </c>
      <c r="N13" s="36">
        <f>IF(Dashboard!$B$18&lt;&gt;"OK","Check data",SUM(B13:M13))</f>
        <v>69929.1904087055</v>
      </c>
    </row>
    <row r="14" spans="1:1" x14ac:dyDescent="0.25">
      <c r="A14" s="38" t="s">
        <v>120</v>
      </c>
    </row>
    <row r="15" spans="1:13" x14ac:dyDescent="0.25">
      <c r="A15" s="31" t="s">
        <v>121</v>
      </c>
      <c r="B15" s="35">
        <f>IF(Dashboard!$B$18&lt;&gt;"OK","Check data",'Pricing and Capacity'!$B$12+'Pricing and Capacity'!$B$13-'Startup Costs'!$G$10)</f>
        <v>600</v>
      </c>
      <c r="C15" s="35">
        <f>IF(Dashboard!$B$18&lt;&gt;"OK","Check data",B19)</f>
        <v>-9955.33420905416</v>
      </c>
      <c r="D15" s="35">
        <f>IF(Dashboard!$B$18&lt;&gt;"OK","Check data",C19)</f>
        <v>-17780.6684181083</v>
      </c>
      <c r="E15" s="35">
        <f>IF(Dashboard!$B$18&lt;&gt;"OK","Check data",D19)</f>
        <v>-22876.0026271625</v>
      </c>
      <c r="F15" s="35">
        <f>IF(Dashboard!$B$18&lt;&gt;"OK","Check data",E19)</f>
        <v>-25241.3368362166</v>
      </c>
      <c r="G15" s="35">
        <f>IF(Dashboard!$B$18&lt;&gt;"OK","Check data",F19)</f>
        <v>-26241.6710452708</v>
      </c>
      <c r="H15" s="35">
        <f>IF(Dashboard!$B$18&lt;&gt;"OK","Check data",G19)</f>
        <v>-24512.005254325</v>
      </c>
      <c r="I15" s="35">
        <f>IF(Dashboard!$B$18&lt;&gt;"OK","Check data",H19)</f>
        <v>-20052.3394633791</v>
      </c>
      <c r="J15" s="35">
        <f>IF(Dashboard!$B$18&lt;&gt;"OK","Check data",I19)</f>
        <v>-12862.6736724333</v>
      </c>
      <c r="K15" s="35">
        <f>IF(Dashboard!$B$18&lt;&gt;"OK","Check data",J19)</f>
        <v>-5673.00788148744</v>
      </c>
      <c r="L15" s="35">
        <f>IF(Dashboard!$B$18&lt;&gt;"OK","Check data",K19)</f>
        <v>1516.6579094584</v>
      </c>
      <c r="M15" s="35">
        <f>IF(Dashboard!$B$18&lt;&gt;"OK","Check data",L19)</f>
        <v>8706.32370040424</v>
      </c>
    </row>
    <row r="16" spans="1:14" x14ac:dyDescent="0.25">
      <c r="A16" s="31" t="s">
        <v>122</v>
      </c>
      <c r="B16" s="35">
        <f>IF(Dashboard!$B$18&lt;&gt;"OK","Check data",IF('Pricing and Capacity'!$B$13=0,0,IF('Pricing and Capacity'!$B$14=0,IF('Pricing and Capacity'!$B$15&gt;0,'Pricing and Capacity'!$B$13/('Pricing and Capacity'!$B$15*12),"n/a"),-PPMT('Pricing and Capacity'!$B$14/12,1,'Pricing and Capacity'!$B$15*12,'Pricing and Capacity'!$B$13))))</f>
        <v>530.33420905416</v>
      </c>
      <c r="C16" s="35">
        <f>IF(Dashboard!$B$18&lt;&gt;"OK","Check data",IF('Pricing and Capacity'!$B$13=0,0,IF('Pricing and Capacity'!$B$14=0,IF('Pricing and Capacity'!$B$15&gt;0,'Pricing and Capacity'!$B$13/('Pricing and Capacity'!$B$15*12),"n/a"),-PPMT('Pricing and Capacity'!$B$14/12,2,'Pricing and Capacity'!$B$15*12,'Pricing and Capacity'!$B$13))))</f>
        <v>534.311715622067</v>
      </c>
      <c r="D16" s="35">
        <f>IF(Dashboard!$B$18&lt;&gt;"OK","Check data",IF('Pricing and Capacity'!$B$13=0,0,IF('Pricing and Capacity'!$B$14=0,IF('Pricing and Capacity'!$B$15&gt;0,'Pricing and Capacity'!$B$13/('Pricing and Capacity'!$B$15*12),"n/a"),-PPMT('Pricing and Capacity'!$B$14/12,3,'Pricing and Capacity'!$B$15*12,'Pricing and Capacity'!$B$13))))</f>
        <v>538.319053489232</v>
      </c>
      <c r="E16" s="35">
        <f>IF(Dashboard!$B$18&lt;&gt;"OK","Check data",IF('Pricing and Capacity'!$B$13=0,0,IF('Pricing and Capacity'!$B$14=0,IF('Pricing and Capacity'!$B$15&gt;0,'Pricing and Capacity'!$B$13/('Pricing and Capacity'!$B$15*12),"n/a"),-PPMT('Pricing and Capacity'!$B$14/12,4,'Pricing and Capacity'!$B$15*12,'Pricing and Capacity'!$B$13))))</f>
        <v>542.356446390402</v>
      </c>
      <c r="F16" s="35">
        <f>IF(Dashboard!$B$18&lt;&gt;"OK","Check data",IF('Pricing and Capacity'!$B$13=0,0,IF('Pricing and Capacity'!$B$14=0,IF('Pricing and Capacity'!$B$15&gt;0,'Pricing and Capacity'!$B$13/('Pricing and Capacity'!$B$15*12),"n/a"),-PPMT('Pricing and Capacity'!$B$14/12,5,'Pricing and Capacity'!$B$15*12,'Pricing and Capacity'!$B$13))))</f>
        <v>546.424119738329</v>
      </c>
      <c r="G16" s="35">
        <f>IF(Dashboard!$B$18&lt;&gt;"OK","Check data",IF('Pricing and Capacity'!$B$13=0,0,IF('Pricing and Capacity'!$B$14=0,IF('Pricing and Capacity'!$B$15&gt;0,'Pricing and Capacity'!$B$13/('Pricing and Capacity'!$B$15*12),"n/a"),-PPMT('Pricing and Capacity'!$B$14/12,6,'Pricing and Capacity'!$B$15*12,'Pricing and Capacity'!$B$13))))</f>
        <v>550.522300636367</v>
      </c>
      <c r="H16" s="35">
        <f>IF(Dashboard!$B$18&lt;&gt;"OK","Check data",IF('Pricing and Capacity'!$B$13=0,0,IF('Pricing and Capacity'!$B$14=0,IF('Pricing and Capacity'!$B$15&gt;0,'Pricing and Capacity'!$B$13/('Pricing and Capacity'!$B$15*12),"n/a"),-PPMT('Pricing and Capacity'!$B$14/12,7,'Pricing and Capacity'!$B$15*12,'Pricing and Capacity'!$B$13))))</f>
        <v>554.65121789114</v>
      </c>
      <c r="I16" s="35">
        <f>IF(Dashboard!$B$18&lt;&gt;"OK","Check data",IF('Pricing and Capacity'!$B$13=0,0,IF('Pricing and Capacity'!$B$14=0,IF('Pricing and Capacity'!$B$15&gt;0,'Pricing and Capacity'!$B$13/('Pricing and Capacity'!$B$15*12),"n/a"),-PPMT('Pricing and Capacity'!$B$14/12,8,'Pricing and Capacity'!$B$15*12,'Pricing and Capacity'!$B$13))))</f>
        <v>558.811102025323</v>
      </c>
      <c r="J16" s="35">
        <f>IF(Dashboard!$B$18&lt;&gt;"OK","Check data",IF('Pricing and Capacity'!$B$13=0,0,IF('Pricing and Capacity'!$B$14=0,IF('Pricing and Capacity'!$B$15&gt;0,'Pricing and Capacity'!$B$13/('Pricing and Capacity'!$B$15*12),"n/a"),-PPMT('Pricing and Capacity'!$B$14/12,9,'Pricing and Capacity'!$B$15*12,'Pricing and Capacity'!$B$13))))</f>
        <v>563.002185290513</v>
      </c>
      <c r="K16" s="35">
        <f>IF(Dashboard!$B$18&lt;&gt;"OK","Check data",IF('Pricing and Capacity'!$B$13=0,0,IF('Pricing and Capacity'!$B$14=0,IF('Pricing and Capacity'!$B$15&gt;0,'Pricing and Capacity'!$B$13/('Pricing and Capacity'!$B$15*12),"n/a"),-PPMT('Pricing and Capacity'!$B$14/12,10,'Pricing and Capacity'!$B$15*12,'Pricing and Capacity'!$B$13))))</f>
        <v>567.224701680192</v>
      </c>
      <c r="L16" s="35">
        <f>IF(Dashboard!$B$18&lt;&gt;"OK","Check data",IF('Pricing and Capacity'!$B$13=0,0,IF('Pricing and Capacity'!$B$14=0,IF('Pricing and Capacity'!$B$15&gt;0,'Pricing and Capacity'!$B$13/('Pricing and Capacity'!$B$15*12),"n/a"),-PPMT('Pricing and Capacity'!$B$14/12,11,'Pricing and Capacity'!$B$15*12,'Pricing and Capacity'!$B$13))))</f>
        <v>571.478886942794</v>
      </c>
      <c r="M16" s="35">
        <f>IF(Dashboard!$B$18&lt;&gt;"OK","Check data",IF('Pricing and Capacity'!$B$13=0,0,IF('Pricing and Capacity'!$B$14=0,IF('Pricing and Capacity'!$B$15&gt;0,'Pricing and Capacity'!$B$13/('Pricing and Capacity'!$B$15*12),"n/a"),-PPMT('Pricing and Capacity'!$B$14/12,12,'Pricing and Capacity'!$B$15*12,'Pricing and Capacity'!$B$13))))</f>
        <v>575.764978594865</v>
      </c>
      <c r="N16" s="36">
        <f>IF(Dashboard!$B$18&lt;&gt;"OK","Check data",SUM(B16:M16))</f>
        <v>6633.20091735538</v>
      </c>
    </row>
    <row r="17" spans="1:14" x14ac:dyDescent="0.25">
      <c r="A17" s="31" t="s">
        <v>123</v>
      </c>
      <c r="B17" s="35">
        <f>IF(Dashboard!$B$18&lt;&gt;"OK","Check data",'Pricing and Capacity'!$B$11)</f>
        <v>4000</v>
      </c>
      <c r="C17" s="35">
        <f>IF(Dashboard!$B$18&lt;&gt;"OK","Check data",'Pricing and Capacity'!$B$11)</f>
        <v>4000</v>
      </c>
      <c r="D17" s="35">
        <f>IF(Dashboard!$B$18&lt;&gt;"OK","Check data",'Pricing and Capacity'!$B$11)</f>
        <v>4000</v>
      </c>
      <c r="E17" s="35">
        <f>IF(Dashboard!$B$18&lt;&gt;"OK","Check data",'Pricing and Capacity'!$B$11)</f>
        <v>4000</v>
      </c>
      <c r="F17" s="35">
        <f>IF(Dashboard!$B$18&lt;&gt;"OK","Check data",'Pricing and Capacity'!$B$11)</f>
        <v>4000</v>
      </c>
      <c r="G17" s="35">
        <f>IF(Dashboard!$B$18&lt;&gt;"OK","Check data",'Pricing and Capacity'!$B$11)</f>
        <v>4000</v>
      </c>
      <c r="H17" s="35">
        <f>IF(Dashboard!$B$18&lt;&gt;"OK","Check data",'Pricing and Capacity'!$B$11)</f>
        <v>4000</v>
      </c>
      <c r="I17" s="35">
        <f>IF(Dashboard!$B$18&lt;&gt;"OK","Check data",'Pricing and Capacity'!$B$11)</f>
        <v>4000</v>
      </c>
      <c r="J17" s="35">
        <f>IF(Dashboard!$B$18&lt;&gt;"OK","Check data",'Pricing and Capacity'!$B$11)</f>
        <v>4000</v>
      </c>
      <c r="K17" s="35">
        <f>IF(Dashboard!$B$18&lt;&gt;"OK","Check data",'Pricing and Capacity'!$B$11)</f>
        <v>4000</v>
      </c>
      <c r="L17" s="35">
        <f>IF(Dashboard!$B$18&lt;&gt;"OK","Check data",'Pricing and Capacity'!$B$11)</f>
        <v>4000</v>
      </c>
      <c r="M17" s="35">
        <f>IF(Dashboard!$B$18&lt;&gt;"OK","Check data",'Pricing and Capacity'!$B$11)</f>
        <v>4000</v>
      </c>
      <c r="N17" s="36">
        <f>IF(Dashboard!$B$18&lt;&gt;"OK","Check data",SUM(B17:M17))</f>
        <v>48000</v>
      </c>
    </row>
    <row r="18" spans="1:14" x14ac:dyDescent="0.25">
      <c r="A18" s="37" t="s">
        <v>124</v>
      </c>
      <c r="B18" s="39">
        <f>IF(Dashboard!$B$18&lt;&gt;"OK","Check data",B13-B16-B17)</f>
        <v>-10555.3342090542</v>
      </c>
      <c r="C18" s="39">
        <f>IF(Dashboard!$B$18&lt;&gt;"OK","Check data",C13-C16-C17)</f>
        <v>-7825.33420905416</v>
      </c>
      <c r="D18" s="39">
        <f>IF(Dashboard!$B$18&lt;&gt;"OK","Check data",D13-D16-D17)</f>
        <v>-5095.33420905416</v>
      </c>
      <c r="E18" s="39">
        <f>IF(Dashboard!$B$18&lt;&gt;"OK","Check data",E13-E16-E17)</f>
        <v>-2365.33420905416</v>
      </c>
      <c r="F18" s="39">
        <f>IF(Dashboard!$B$18&lt;&gt;"OK","Check data",F13-F16-F17)</f>
        <v>-1000.33420905416</v>
      </c>
      <c r="G18" s="39">
        <f>IF(Dashboard!$B$18&lt;&gt;"OK","Check data",G13-G16-G17)</f>
        <v>1729.66579094584</v>
      </c>
      <c r="H18" s="39">
        <f>IF(Dashboard!$B$18&lt;&gt;"OK","Check data",H13-H16-H17)</f>
        <v>4459.66579094584</v>
      </c>
      <c r="I18" s="39">
        <f>IF(Dashboard!$B$18&lt;&gt;"OK","Check data",I13-I16-I17)</f>
        <v>7189.66579094584</v>
      </c>
      <c r="J18" s="39">
        <f>IF(Dashboard!$B$18&lt;&gt;"OK","Check data",J13-J16-J17)</f>
        <v>7189.66579094584</v>
      </c>
      <c r="K18" s="39">
        <f>IF(Dashboard!$B$18&lt;&gt;"OK","Check data",K13-K16-K17)</f>
        <v>7189.66579094584</v>
      </c>
      <c r="L18" s="39">
        <f>IF(Dashboard!$B$18&lt;&gt;"OK","Check data",L13-L16-L17)</f>
        <v>7189.66579094584</v>
      </c>
      <c r="M18" s="39">
        <f>IF(Dashboard!$B$18&lt;&gt;"OK","Check data",M13-M16-M17)</f>
        <v>7189.66579094584</v>
      </c>
      <c r="N18" s="36">
        <f>IF(Dashboard!$B$18&lt;&gt;"OK","Check data",SUM(B18:M18))</f>
        <v>15295.9894913501</v>
      </c>
    </row>
    <row r="19" spans="1:13" x14ac:dyDescent="0.25">
      <c r="A19" s="37" t="s">
        <v>125</v>
      </c>
      <c r="B19" s="36">
        <f>IF(Dashboard!$B$18&lt;&gt;"OK","Check data",B15+B18)</f>
        <v>-9955.33420905416</v>
      </c>
      <c r="C19" s="36">
        <f>IF(Dashboard!$B$18&lt;&gt;"OK","Check data",C15+C18)</f>
        <v>-17780.6684181083</v>
      </c>
      <c r="D19" s="36">
        <f>IF(Dashboard!$B$18&lt;&gt;"OK","Check data",D15+D18)</f>
        <v>-22876.0026271625</v>
      </c>
      <c r="E19" s="36">
        <f>IF(Dashboard!$B$18&lt;&gt;"OK","Check data",E15+E18)</f>
        <v>-25241.3368362166</v>
      </c>
      <c r="F19" s="36">
        <f>IF(Dashboard!$B$18&lt;&gt;"OK","Check data",F15+F18)</f>
        <v>-26241.6710452708</v>
      </c>
      <c r="G19" s="36">
        <f>IF(Dashboard!$B$18&lt;&gt;"OK","Check data",G15+G18)</f>
        <v>-24512.005254325</v>
      </c>
      <c r="H19" s="36">
        <f>IF(Dashboard!$B$18&lt;&gt;"OK","Check data",H15+H18)</f>
        <v>-20052.3394633791</v>
      </c>
      <c r="I19" s="36">
        <f>IF(Dashboard!$B$18&lt;&gt;"OK","Check data",I15+I18)</f>
        <v>-12862.6736724333</v>
      </c>
      <c r="J19" s="36">
        <f>IF(Dashboard!$B$18&lt;&gt;"OK","Check data",J15+J18)</f>
        <v>-5673.00788148744</v>
      </c>
      <c r="K19" s="36">
        <f>IF(Dashboard!$B$18&lt;&gt;"OK","Check data",K15+K18)</f>
        <v>1516.6579094584</v>
      </c>
      <c r="L19" s="36">
        <f>IF(Dashboard!$B$18&lt;&gt;"OK","Check data",L15+L18)</f>
        <v>8706.32370040424</v>
      </c>
      <c r="M19" s="36">
        <f>IF(Dashboard!$B$18&lt;&gt;"OK","Check data",M15+M18)</f>
        <v>15895.9894913501</v>
      </c>
    </row>
  </sheetData>
  <mergeCells count="2">
    <mergeCell ref="A1:G1"/>
    <mergeCell ref="A2:G2"/>
  </mergeCells>
  <conditionalFormatting sqref="B5:M5">
    <cfRule type="expression" dxfId="3" priority="1">
      <formula>AND(B5&lt;&gt;"",B5&lt;&gt;"OK")</formula>
    </cfRule>
  </conditionalFormatting>
  <conditionalFormatting sqref="B13:N13">
    <cfRule type="expression" dxfId="4" priority="1">
      <formula>AND(ISNUMBER(B13),B13&lt;0)</formula>
    </cfRule>
  </conditionalFormatting>
  <conditionalFormatting sqref="B18:N19">
    <cfRule type="expression" dxfId="5" priority="1">
      <formula>AND(ISNUMBER(B18),B18&lt;0)</formula>
    </cfRule>
  </conditionalFormatting>
  <dataValidations count="1">
    <dataValidation type="decimal" allowBlank="1" showErrorMessage="1" errorTitle="Invalid capacity" error="Enter a number between 0 and 1" sqref="B4:M4">
      <formula1>0</formula1>
      <formula2>1</formula2>
    </dataValidation>
  </dataValidations>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
  <sheetViews>
    <sheetView workbookViewId="0" showGridLines="0"/>
  </sheetViews>
  <sheetFormatPr defaultRowHeight="15" outlineLevelRow="0" outlineLevelCol="0" x14ac:dyDescent="55"/>
  <cols>
    <col min="1" max="1" width="34" customWidth="1"/>
    <col min="2" max="2" width="18" customWidth="1"/>
    <col min="3" max="3" width="50" customWidth="1"/>
  </cols>
  <sheetData>
    <row r="1" ht="24" customHeight="1" spans="1:3" x14ac:dyDescent="0.25">
      <c r="A1" s="40" t="s">
        <v>126</v>
      </c>
      <c r="B1" s="40"/>
      <c r="C1" s="40"/>
    </row>
    <row r="2" ht="30" customHeight="1" spans="1:3" x14ac:dyDescent="0.25">
      <c r="A2" s="4" t="s">
        <v>127</v>
      </c>
      <c r="B2" s="4"/>
      <c r="C2" s="4"/>
    </row>
    <row r="3" spans="3:3" x14ac:dyDescent="0.25">
      <c r="C3" s="2"/>
    </row>
    <row r="4" ht="24" customHeight="1" spans="1:3" x14ac:dyDescent="0.25">
      <c r="A4" s="12" t="s">
        <v>128</v>
      </c>
      <c r="B4" s="12" t="s">
        <v>129</v>
      </c>
      <c r="C4" s="12" t="s">
        <v>130</v>
      </c>
    </row>
    <row r="5" ht="22" customHeight="1" spans="1:3" x14ac:dyDescent="0.25">
      <c r="A5" s="37" t="s">
        <v>131</v>
      </c>
      <c r="B5" s="21">
        <f>IF(Dashboard!$B$18&lt;&gt;"OK","Check data",'Startup Costs'!$G$10)</f>
        <v>64400</v>
      </c>
      <c r="C5" s="7" t="s">
        <v>132</v>
      </c>
    </row>
    <row r="6" ht="22" customHeight="1" spans="1:3" x14ac:dyDescent="0.25">
      <c r="A6" s="37" t="s">
        <v>121</v>
      </c>
      <c r="B6" s="21">
        <f>IF(Dashboard!$B$18&lt;&gt;"OK","Check data",'12-Month Profit and Loss'!$B$15)</f>
        <v>600</v>
      </c>
      <c r="C6" s="7" t="s">
        <v>133</v>
      </c>
    </row>
    <row r="7" ht="22" customHeight="1" spans="1:3" x14ac:dyDescent="0.25">
      <c r="A7" s="37" t="s">
        <v>134</v>
      </c>
      <c r="B7" s="41">
        <f>IF(Dashboard!$B$18&lt;&gt;"OK","Check data",IF('Pricing and Capacity'!$B$13=0,0,IF('Pricing and Capacity'!$B$14=0,IF('Pricing and Capacity'!$B$15&gt;0,'Pricing and Capacity'!$B$13/('Pricing and Capacity'!$B$15*12),"n/a"),PMT('Pricing and Capacity'!$B$14/12,'Pricing and Capacity'!$B$15*12,-'Pricing and Capacity'!$B$13))))</f>
        <v>830.33420905416</v>
      </c>
      <c r="C7" s="7" t="s">
        <v>135</v>
      </c>
    </row>
    <row r="8" ht="22" customHeight="1" spans="1:3" x14ac:dyDescent="0.25">
      <c r="A8" s="37" t="s">
        <v>136</v>
      </c>
      <c r="B8" s="41">
        <f>IF(Dashboard!$B$18&lt;&gt;"OK","Check data",Overhead!$E$3+'12-Month Profit and Loss'!$B$9+B7+'Pricing and Capacity'!$B$11)</f>
        <v>20110.3342090542</v>
      </c>
      <c r="C8" s="7" t="s">
        <v>137</v>
      </c>
    </row>
    <row r="9" ht="22" customHeight="1" spans="1:3" x14ac:dyDescent="0.25">
      <c r="A9" s="37" t="s">
        <v>138</v>
      </c>
      <c r="B9" s="41">
        <f>IF(Dashboard!$B$18&lt;&gt;"OK","Check data",'Pricing and Capacity'!$B$7*(1-'Pricing and Capacity'!$B$8))</f>
        <v>227.5</v>
      </c>
      <c r="C9" s="7" t="s">
        <v>139</v>
      </c>
    </row>
    <row r="10" ht="22" customHeight="1" spans="1:3" x14ac:dyDescent="0.25">
      <c r="A10" s="37" t="s">
        <v>140</v>
      </c>
      <c r="B10" s="42">
        <f>IF(Dashboard!$B$18&lt;&gt;"OK","Check data",IF(B9&lt;=0,"n/a",B8/B9))</f>
        <v>88.3970734463919</v>
      </c>
      <c r="C10" s="7" t="s">
        <v>141</v>
      </c>
    </row>
    <row r="11" ht="22" customHeight="1" spans="1:3" x14ac:dyDescent="0.25">
      <c r="A11" s="37" t="s">
        <v>142</v>
      </c>
      <c r="B11" s="21">
        <f>IF(Dashboard!$B$18&lt;&gt;"OK","Check data",'12-Month Profit and Loss'!$N$7)</f>
        <v>366600</v>
      </c>
      <c r="C11" s="7" t="s">
        <v>143</v>
      </c>
    </row>
    <row r="12" ht="22" customHeight="1" spans="1:3" x14ac:dyDescent="0.25">
      <c r="A12" s="37" t="s">
        <v>144</v>
      </c>
      <c r="B12" s="21">
        <f>IF(Dashboard!$B$18&lt;&gt;"OK","Check data",'12-Month Profit and Loss'!$N$13)</f>
        <v>69929.1904087055</v>
      </c>
      <c r="C12" s="7" t="s">
        <v>145</v>
      </c>
    </row>
    <row r="13" ht="22" customHeight="1" spans="1:3" x14ac:dyDescent="0.25">
      <c r="A13" s="37" t="s">
        <v>146</v>
      </c>
      <c r="B13" s="43">
        <f>IF(Dashboard!$B$18&lt;&gt;"OK","Check data",IF(COUNTIF('12-Month Profit and Loss'!$B$13:$M$13,"&gt;=0")=0,"Not in 12 months",SUMPRODUCT(MIN(('12-Month Profit and Loss'!$B$13:$M$13&gt;=0)*COLUMN('12-Month Profit and Loss'!$B$13:$M$13)+('12-Month Profit and Loss'!$B$13:$M$13&lt;0)*99))-1))</f>
        <v>4</v>
      </c>
      <c r="C13" s="7" t="s">
        <v>147</v>
      </c>
    </row>
    <row r="14" ht="22" customHeight="1" spans="1:3" x14ac:dyDescent="0.25">
      <c r="A14" s="37" t="s">
        <v>148</v>
      </c>
      <c r="B14" s="43">
        <f>IF(Dashboard!$B$18&lt;&gt;"OK","Check data",IF(COUNTIF('12-Month Profit and Loss'!$B$18:$M$18,"&gt;=0")=0,"Not in 12 months",SUMPRODUCT(MIN(('12-Month Profit and Loss'!$B$18:$M$18&gt;=0)*COLUMN('12-Month Profit and Loss'!$B$18:$M$18)+('12-Month Profit and Loss'!$B$18:$M$18&lt;0)*99))-1))</f>
        <v>6</v>
      </c>
      <c r="C14" s="7" t="s">
        <v>149</v>
      </c>
    </row>
    <row r="15" ht="22" customHeight="1" spans="1:3" x14ac:dyDescent="0.25">
      <c r="A15" s="37" t="s">
        <v>150</v>
      </c>
      <c r="B15" s="21">
        <f>IF(Dashboard!$B$18&lt;&gt;"OK","Check data",MIN('12-Month Profit and Loss'!$B$15,'12-Month Profit and Loss'!$B$19:$M$19))</f>
        <v>-26241.6710452708</v>
      </c>
      <c r="C15" s="7" t="s">
        <v>151</v>
      </c>
    </row>
    <row r="16" ht="22" customHeight="1" spans="1:3" x14ac:dyDescent="0.25">
      <c r="A16" s="37" t="s">
        <v>152</v>
      </c>
      <c r="B16" s="21">
        <f>IF(Dashboard!$B$18&lt;&gt;"OK","Check data",'12-Month Profit and Loss'!$M$19)</f>
        <v>15895.9894913501</v>
      </c>
      <c r="C16" s="7" t="s">
        <v>153</v>
      </c>
    </row>
    <row r="17" ht="22" customHeight="1" spans="1:3" x14ac:dyDescent="0.25">
      <c r="A17" s="37" t="s">
        <v>154</v>
      </c>
      <c r="B17" s="43">
        <f>SUMPRODUCT(('Startup Costs'!$D$3:$D$51&lt;&gt;"")*('Startup Costs'!$D$3:$D$51&lt;&gt;"OK"))+SUMPRODUCT((Overhead!$C$3:$C$51&lt;&gt;"")*(Overhead!$C$3:$C$51&lt;&gt;"OK"))+SUMPRODUCT(--('Pricing and Capacity'!$C$4:$C$15&lt;&gt;"OK"))+SUMPRODUCT(--('12-Month Profit and Loss'!$B$5:$M$5&lt;&gt;"OK"))</f>
        <v>0</v>
      </c>
      <c r="C17" s="7" t="s">
        <v>155</v>
      </c>
    </row>
    <row r="18" ht="22" customHeight="1" spans="1:3" x14ac:dyDescent="0.25">
      <c r="A18" s="37" t="s">
        <v>156</v>
      </c>
      <c r="B18" s="44" t="str">
        <f>IF(B17=0,"OK","Check data")</f>
        <v>OK</v>
      </c>
      <c r="C18" s="7" t="s">
        <v>157</v>
      </c>
    </row>
    <row r="19" spans="3:3" x14ac:dyDescent="0.25">
      <c r="C19" s="2"/>
    </row>
    <row r="20" ht="30" customHeight="1" spans="1:3" x14ac:dyDescent="0.25">
      <c r="A20" s="45" t="s">
        <v>32</v>
      </c>
      <c r="B20" s="45"/>
      <c r="C20" s="45"/>
    </row>
  </sheetData>
  <mergeCells count="3">
    <mergeCell ref="A1:C1"/>
    <mergeCell ref="A2:C2"/>
    <mergeCell ref="A20:C20"/>
  </mergeCells>
  <conditionalFormatting sqref="B18">
    <cfRule type="expression" dxfId="6" priority="1">
      <formula>B18&lt;&gt;"OK"</formula>
    </cfRule>
  </conditionalFormatting>
  <conditionalFormatting sqref="B15">
    <cfRule type="expression" dxfId="7" priority="1">
      <formula>AND(ISNUMBER(B15),B15&lt;0)</formula>
    </cfRule>
  </conditionalFormatting>
  <hyperlinks>
    <hyperlink ref="A20" r:id="rId1"/>
  </hyperlink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Instructions</vt:lpstr>
      <vt:lpstr>Startup Costs</vt:lpstr>
      <vt:lpstr>Overhead</vt:lpstr>
      <vt:lpstr>Pricing and Capacity</vt:lpstr>
      <vt:lpstr>12-Month Profit and Loss</vt:lpstr>
      <vt:lpstr>Dashboard</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Field Service Software IO</dc:creator>
  <dc:title/>
  <dc:subject/>
  <dc:description/>
  <cp:keywords/>
  <cp:category/>
  <cp:lastModifiedBy>Field Service Software IO template generator</cp:lastModifiedBy>
  <dcterms:created xsi:type="dcterms:W3CDTF">2026-11-04T12:26:09Z</dcterms:created>
  <dcterms:modified xsi:type="dcterms:W3CDTF">2026-11-04T12:26:09Z</dcterms:modified>
</cp:coreProperties>
</file>