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anel" state="visible" r:id="rId5"/>
    <sheet sheetId="3" name="Directory" state="visible" r:id="rId6"/>
    <sheet sheetId="4" name="Dashboard" state="visible" r:id="rId7"/>
  </sheets>
  <calcPr calcId="171027" fullCalcOnLoad="1"/>
</workbook>
</file>

<file path=xl/sharedStrings.xml><?xml version="1.0" encoding="utf-8"?>
<sst xmlns="http://schemas.openxmlformats.org/spreadsheetml/2006/main" count="133" uniqueCount="116">
  <si>
    <t>Electrical Panel Schedule Template</t>
  </si>
  <si>
    <t>Purpose</t>
  </si>
  <si>
    <t>This workbook records one 120/208 V, 3-phase, 4-wire panelboard circuit by circuit: what each breaker feeds, its size and poles, and the load you assign to each pole in VA. Each space is given its phase from its circuit number, so the workbook totals the connected load per phase, shows the highest phase and the imbalance, and prints a directory card for the panel door. It is a record of the loads you enter. It is not a load calculation, and breaker sizing and code questions belong to the electrician of record. Replace the synthetic sample panel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</si>
  <si>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</si>
  <si>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circuits, loads, and figures shown are synthetic and for illustration only.</t>
  </si>
  <si>
    <t>What’s in this workbook</t>
  </si>
  <si>
    <t>Panel</t>
  </si>
  <si>
    <t>The schedule. Header fields at the top (panel name, location, fed from, phase-to-neutral volts, line-to-line volts, main breaker or bus rating, number of spaces), then one row per space for circuits 1 to 42: description, breaker amps, poles and the load on that pole in VA. Phase, equivalent amps and Row check are calculated.</t>
  </si>
  <si>
    <t>Directory</t>
  </si>
  <si>
    <t>A printable door card: odd circuits on the left, even on the right, each with its description, breaker amps and poles, read from Panel by circuit number. Type the date you last updated it.</t>
  </si>
  <si>
    <t>Dashboard</t>
  </si>
  <si>
    <t>Connected load, the load on phases A, B and C, the highest phase in equivalent amps, the phase imbalance, spaces with load, spare breakers, empty spaces, and the Rows to check and Data check cells.</t>
  </si>
  <si>
    <t>How to use this workbook</t>
  </si>
  <si>
    <t>1. If your spreadsheet app opens the file read-only, turn on editing so the formulas calculate.</t>
  </si>
  <si>
    <t>2. On Panel, fill in the header: panel name, location, what feeds it, the phase-to-neutral and line-to-line volts, the main breaker or bus rating in amps, and the number of spaces (an even number from 2 to 42).</t>
  </si>
  <si>
    <t>3. Clear the sample circuits (columns B to E) and enter your own, one row per space. Odd circuits sit on the left of the panel and even circuits on the right. Leave the Circuit # column as it is.</t>
  </si>
  <si>
    <t>4. For each breaker, type its amps and its poles (1, 2 or 3) on the row of its first circuit, and the load on that pole in VA.</t>
  </si>
  <si>
    <t>5. A 2-pole breaker on circuit n also uses circuit n+2, and a 3-pole breaker uses n+2 and n+4 (the same side of the panel). On those continuation rows leave Breaker amps and Poles blank, type a description such as "(second pole)", and type the load on that pole in VA.</t>
  </si>
  <si>
    <t>6. For a spare breaker, type its amps and poles and a load of 0. Leave unused spaces blank.</t>
  </si>
  <si>
    <t>7. Read the phase totals, the highest phase and the imbalance on Dashboard. Move a circuit to another space and the totals follow.</t>
  </si>
  <si>
    <t>8. Fix every Row check that is not OK, then confirm Rows to check on Dashboard reads 0. Every Dashboard figure reads Check data until it does.</t>
  </si>
  <si>
    <t>9. On Directory, type the date you last updated the schedule, then print the sheet for the panel door.</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</si>
  <si>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</si>
  <si>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</si>
  <si>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</si>
  <si>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</si>
  <si>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</si>
  <si>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</si>
  <si>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and dropdowns can differ, so check the results, dropdowns and colors after import.</t>
  </si>
  <si>
    <t>Limitations</t>
  </si>
  <si>
    <t>This is a record of connected load as you enter it, not a load calculation: it applies no demand factors and makes no comparison with the main breaker or bus rating, which is recorded on Panel for reference only. Equivalent amps are VA divided by the phase-to-neutral volts, a figure for balancing the phases, not a measured line current; the real line current of a 208 V two-pole or three-pole load is different. Breaker sizing, conductor sizing and code compliance are questions for the electrician of record. The layout covers one 120/208 V, 3-phase, 4-wire panelboard with odd circuits on the left and even circuits on the right; single-phase 120/240 V panels and 277/480 V panels are not modeled. The sheet holds up to 42 spaces, rows 10 to 51 on Panel. Use one copy of the workbook per panel.</t>
  </si>
  <si>
    <t>Free template from Field Service Software IO: browse more free field service templates →</t>
  </si>
  <si>
    <t>Panel name</t>
  </si>
  <si>
    <t>LP-1</t>
  </si>
  <si>
    <t>The name on the panel cover. Shown on Directory.</t>
  </si>
  <si>
    <t>Location</t>
  </si>
  <si>
    <t>Warehouse, north wall (sample)</t>
  </si>
  <si>
    <t>Where the panel is. Shown on Directory.</t>
  </si>
  <si>
    <t>Fed from</t>
  </si>
  <si>
    <t>MDP-1, circuit 4 (sample)</t>
  </si>
  <si>
    <t>The upstream panel and circuit. Shown on Directory.</t>
  </si>
  <si>
    <t>Volts, phase-to-neutral</t>
  </si>
  <si>
    <t>Used to turn VA into equivalent amps for balancing (1 to 1,000).</t>
  </si>
  <si>
    <t>Volts, line-to-line</t>
  </si>
  <si>
    <t>Recorded for the directory (1 to 1,000).</t>
  </si>
  <si>
    <t>Main or bus rating (A)</t>
  </si>
  <si>
    <t>Recorded for reference only (0 to 5,000). Nothing is compared with it.</t>
  </si>
  <si>
    <t>Spaces</t>
  </si>
  <si>
    <t>Number of circuit spaces: an even number from 2 to 42.</t>
  </si>
  <si>
    <t>Circuit #</t>
  </si>
  <si>
    <t>Description</t>
  </si>
  <si>
    <t>Breaker amps</t>
  </si>
  <si>
    <t>Poles</t>
  </si>
  <si>
    <t>Load on this pole (VA)</t>
  </si>
  <si>
    <t>Phase</t>
  </si>
  <si>
    <t>Equivalent amps on this pole (VA ÷ phase-to-neutral volts, for balancing; not a measured line current)</t>
  </si>
  <si>
    <t>Row check</t>
  </si>
  <si>
    <t>Lighting - sales floor</t>
  </si>
  <si>
    <t>Receptacles - office</t>
  </si>
  <si>
    <t>Lighting - warehouse</t>
  </si>
  <si>
    <t>Receptacles - break room</t>
  </si>
  <si>
    <t>Exterior lighting</t>
  </si>
  <si>
    <t>Water heater</t>
  </si>
  <si>
    <t>RTU-1</t>
  </si>
  <si>
    <t>Water heater (second pole)</t>
  </si>
  <si>
    <t>RTU-1 (second pole)</t>
  </si>
  <si>
    <t>Refrigerator / freezer</t>
  </si>
  <si>
    <t>RTU-1 (third pole)</t>
  </si>
  <si>
    <t>Server closet</t>
  </si>
  <si>
    <t>Exhaust fan EF-1</t>
  </si>
  <si>
    <t>Spare</t>
  </si>
  <si>
    <t>Receptacles - warehouse</t>
  </si>
  <si>
    <t>Overhead door opener</t>
  </si>
  <si>
    <t>Sign</t>
  </si>
  <si>
    <t>Panel directory</t>
  </si>
  <si>
    <t>Main (A)</t>
  </si>
  <si>
    <t>Volts</t>
  </si>
  <si>
    <t>Last updated</t>
  </si>
  <si>
    <t>Ckt</t>
  </si>
  <si>
    <t>Amps</t>
  </si>
  <si>
    <t>Connected load as entered on Panel. A record for balancing phases, not a load calculation.</t>
  </si>
  <si>
    <t>Metric</t>
  </si>
  <si>
    <t>Result</t>
  </si>
  <si>
    <t>How it is calculated</t>
  </si>
  <si>
    <t>Connected load (VA)</t>
  </si>
  <si>
    <t>Every VA typed on Panel, all three phases.</t>
  </si>
  <si>
    <t>Phase A load (VA)</t>
  </si>
  <si>
    <t>VA on spaces whose Phase is A (circuits 1-2, 7-8, 13-14 and so on).</t>
  </si>
  <si>
    <t>Phase B load (VA)</t>
  </si>
  <si>
    <t>VA on spaces whose Phase is B (circuits 3-4, 9-10, 15-16 and so on).</t>
  </si>
  <si>
    <t>Phase C load (VA)</t>
  </si>
  <si>
    <t>VA on spaces whose Phase is C (circuits 5-6, 11-12, 17-18 and so on).</t>
  </si>
  <si>
    <t>Highest phase load (equivalent amps)</t>
  </si>
  <si>
    <t>Largest phase VA ÷ phase-to-neutral volts. For balancing; not a measured line current.</t>
  </si>
  <si>
    <t>Phase imbalance</t>
  </si>
  <si>
    <t>Largest gap between one phase and the average of the three, ÷ that average. n/a with no load. Not a code limit.</t>
  </si>
  <si>
    <t>Average phase load (equivalent amps)</t>
  </si>
  <si>
    <t>Connected load ÷ 3 ÷ phase-to-neutral volts.</t>
  </si>
  <si>
    <t>Highest phase share of connected load</t>
  </si>
  <si>
    <t>Largest phase VA ÷ connected load. A perfectly even panel reads 33.3%. n/a with no load.</t>
  </si>
  <si>
    <t>Spaces with load</t>
  </si>
  <si>
    <t>Spaces with a load above 0 VA, continuation poles included.</t>
  </si>
  <si>
    <t>Spare breakers</t>
  </si>
  <si>
    <t>Breakers with amps entered and no load on their row.</t>
  </si>
  <si>
    <t>Empty spaces</t>
  </si>
  <si>
    <t>Spaces on Panel minus the rows with anything typed in them.</t>
  </si>
  <si>
    <t>Rows to check</t>
  </si>
  <si>
    <t>Panel rows whose Row check is not OK, plus any Panel header setting (volts, rating, spaces) that is blank or out of range.</t>
  </si>
  <si>
    <t>Data check</t>
  </si>
  <si>
    <t>Reads OK only when Rows to check is 0. Do not rely on the figures above until it does.</t>
  </si>
  <si>
    <t>Load (VA)</t>
  </si>
  <si>
    <t>Equivalent amps</t>
  </si>
  <si>
    <t>Share of connected load</t>
  </si>
  <si>
    <t>Phase A</t>
  </si>
  <si>
    <t>Phase B</t>
  </si>
  <si>
    <t>Phase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</si>
</sst>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yyyy-mm-dd"/>
    <numFmt numFmtId="166" formatCode="0.0%"/>
  </numFmts>
  <fonts count="9" x14ac:knownFonts="1">
    <font>
      <color theme="1"/>
      <family val="2"/>
      <scheme val="minor"/>
      <sz val="11"/>
      <name val="Calibri"/>
    </font>
    <font>
      <b/>
      <sz val="16"/>
    </font>
    <font>
      <b/>
      <sz val="12"/>
    </font>
    <font>
      <i/>
    </font>
    <font>
      <b/>
    </font>
    <font>
      <b/>
      <u/>
      <color rgb="FF1155CC"/>
      <sz val="13"/>
    </font>
    <font>
      <i/>
      <sz val="9"/>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6">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xf numFmtId="0" fontId="4" fillId="2" borderId="1" xfId="0" applyFont="1" applyFill="1" applyBorder="1" applyAlignment="1">
      <alignment horizontal="left" vertical="center"/>
    </xf>
    <xf numFmtId="0" fontId="6" fillId="0" borderId="0" xfId="0" applyFont="1" applyAlignment="1">
      <alignment vertical="center"/>
    </xf>
    <xf numFmtId="3" fontId="4" fillId="2" borderId="1" xfId="0" applyNumberFormat="1" applyFont="1" applyFill="1" applyBorder="1" applyAlignment="1">
      <alignment horizontal="left" vertical="center"/>
    </xf>
    <xf numFmtId="0" fontId="7" fillId="5" borderId="1" xfId="0" applyFont="1" applyFill="1" applyBorder="1" applyAlignment="1">
      <alignment horizontal="center" vertical="center" wrapText="1"/>
    </xf>
    <xf numFmtId="1" fontId="4" fillId="3" borderId="1" xfId="0" applyNumberFormat="1" applyFont="1" applyFill="1" applyBorder="1" applyAlignment="1">
      <alignment horizontal="center" vertical="center"/>
    </xf>
    <xf numFmtId="0" fontId="0" fillId="2" borderId="1" xfId="0" applyFill="1" applyBorder="1" applyAlignment="1">
      <alignment horizontal="left" vertical="center"/>
    </xf>
    <xf numFmtId="1"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0" fontId="4" fillId="3" borderId="1" xfId="0" applyFont="1" applyFill="1" applyBorder="1" applyAlignment="1">
      <alignment horizontal="center" vertical="center"/>
    </xf>
    <xf numFmtId="164" fontId="0" fillId="3" borderId="1" xfId="0" applyNumberFormat="1" applyFill="1" applyBorder="1" applyAlignment="1">
      <alignment horizontal="center" vertical="center"/>
    </xf>
    <xf numFmtId="0" fontId="1" fillId="0" borderId="0" xfId="0" applyFont="1"/>
    <xf numFmtId="0" fontId="0" fillId="3" borderId="1" xfId="0" applyFill="1" applyBorder="1" applyAlignment="1">
      <alignment horizontal="left" vertical="center"/>
    </xf>
    <xf numFmtId="165" fontId="0" fillId="2" borderId="1" xfId="0" applyNumberFormat="1" applyFill="1" applyBorder="1" applyAlignment="1">
      <alignment horizontal="left" vertical="center"/>
    </xf>
    <xf numFmtId="1" fontId="0" fillId="3" borderId="1" xfId="0" applyNumberFormat="1" applyFill="1" applyBorder="1" applyAlignment="1">
      <alignment horizontal="center" vertical="center"/>
    </xf>
    <xf numFmtId="0" fontId="6" fillId="0" borderId="0" xfId="0" applyFont="1" applyAlignment="1">
      <alignment vertical="top" wrapText="1"/>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3" fontId="0" fillId="4" borderId="1" xfId="0" applyNumberFormat="1" applyFill="1" applyBorder="1" applyAlignment="1">
      <alignment horizontal="center" vertical="center"/>
    </xf>
    <xf numFmtId="164" fontId="0" fillId="4" borderId="1" xfId="0" applyNumberFormat="1" applyFill="1" applyBorder="1" applyAlignment="1">
      <alignment horizontal="center" vertical="center"/>
    </xf>
    <xf numFmtId="166" fontId="0" fillId="4" borderId="1" xfId="0" applyNumberForma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31">
    <dxf>
      <font>
        <b/>
        <color rgb="FF1F4E79"/>
      </font>
      <fill>
        <patternFill patternType="solid">
          <bgColor rgb="FFDDEBF7"/>
        </patternFill>
      </fill>
    </dxf>
    <dxf>
      <font>
        <b/>
        <color rgb="FF7F6000"/>
      </font>
      <fill>
        <patternFill patternType="solid">
          <bgColor rgb="FFFFF2CC"/>
        </patternFill>
      </fill>
    </dxf>
    <dxf>
      <font>
        <b/>
        <color rgb="FF375623"/>
      </font>
      <fill>
        <patternFill patternType="solid">
          <bgColor rgb="FFE2EFDA"/>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electrical-panel-schedule-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electrical-panel-schedule-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45" customHeight="1" spans="1:6" x14ac:dyDescent="0.25">
      <c r="A19" s="2" t="s">
        <v>17</v>
      </c>
      <c r="B19" s="2"/>
      <c r="C19" s="2"/>
      <c r="D19" s="2"/>
      <c r="E19" s="2"/>
      <c r="F19" s="2"/>
    </row>
    <row r="20" ht="30" customHeight="1" spans="1:6" x14ac:dyDescent="0.25">
      <c r="A20" s="2" t="s">
        <v>18</v>
      </c>
      <c r="B20" s="2"/>
      <c r="C20" s="2"/>
      <c r="D20" s="2"/>
      <c r="E20" s="2"/>
      <c r="F20" s="2"/>
    </row>
    <row r="21" ht="30" customHeight="1" spans="1:6" x14ac:dyDescent="0.25">
      <c r="A21" s="2" t="s">
        <v>19</v>
      </c>
      <c r="B21" s="2"/>
      <c r="C21" s="2"/>
      <c r="D21" s="2"/>
      <c r="E21" s="2"/>
      <c r="F21" s="2"/>
    </row>
    <row r="22" ht="30" customHeight="1" spans="1:6" x14ac:dyDescent="0.25">
      <c r="A22" s="2" t="s">
        <v>20</v>
      </c>
      <c r="B22" s="2"/>
      <c r="C22" s="2"/>
      <c r="D22" s="2"/>
      <c r="E22" s="2"/>
      <c r="F22" s="2"/>
    </row>
    <row r="23" ht="30" customHeight="1" spans="1:6" x14ac:dyDescent="0.25">
      <c r="A23" s="2" t="s">
        <v>21</v>
      </c>
      <c r="B23" s="2"/>
      <c r="C23" s="2"/>
      <c r="D23" s="2"/>
      <c r="E23" s="2"/>
      <c r="F23" s="2"/>
    </row>
    <row r="24" spans="1:6" x14ac:dyDescent="0.25">
      <c r="A24" s="2"/>
      <c r="B24" s="2"/>
      <c r="C24" s="2"/>
      <c r="D24" s="2"/>
      <c r="E24" s="2"/>
      <c r="F24" s="2"/>
    </row>
    <row r="25" spans="1:6" x14ac:dyDescent="0.25">
      <c r="A25" s="3" t="s">
        <v>22</v>
      </c>
      <c r="B25" s="3"/>
      <c r="C25" s="3"/>
      <c r="D25" s="3"/>
      <c r="E25" s="3"/>
      <c r="F25" s="3"/>
    </row>
    <row r="26" spans="1:6" x14ac:dyDescent="0.25">
      <c r="A26" s="5" t="s">
        <v>22</v>
      </c>
      <c r="B26" s="2"/>
      <c r="C26" s="2"/>
      <c r="D26" s="2"/>
      <c r="E26" s="2"/>
      <c r="F26" s="2"/>
    </row>
    <row r="27" spans="1:6" x14ac:dyDescent="0.25">
      <c r="A27" s="6" t="s">
        <v>23</v>
      </c>
      <c r="B27" s="7" t="s">
        <v>24</v>
      </c>
      <c r="C27" s="2"/>
      <c r="D27" s="2"/>
      <c r="E27" s="2"/>
      <c r="F27" s="2"/>
    </row>
    <row r="28" spans="1:6" x14ac:dyDescent="0.25">
      <c r="A28" s="8" t="s">
        <v>23</v>
      </c>
      <c r="B28" s="7" t="s">
        <v>25</v>
      </c>
      <c r="C28" s="2"/>
      <c r="D28" s="2"/>
      <c r="E28" s="2"/>
      <c r="F28" s="2"/>
    </row>
    <row r="29" spans="1:6" x14ac:dyDescent="0.25">
      <c r="A29" s="9" t="s">
        <v>23</v>
      </c>
      <c r="B29" s="7" t="s">
        <v>26</v>
      </c>
      <c r="C29" s="2"/>
      <c r="D29" s="2"/>
      <c r="E29" s="2"/>
      <c r="F29" s="2"/>
    </row>
    <row r="30" spans="1:6" x14ac:dyDescent="0.25">
      <c r="A30" s="2"/>
      <c r="B30" s="2"/>
      <c r="C30" s="2"/>
      <c r="D30" s="2"/>
      <c r="E30" s="2"/>
      <c r="F30" s="2"/>
    </row>
    <row r="31" spans="1:6" x14ac:dyDescent="0.25">
      <c r="A31" s="3" t="s">
        <v>27</v>
      </c>
      <c r="B31" s="3"/>
      <c r="C31" s="3"/>
      <c r="D31" s="3"/>
      <c r="E31" s="3"/>
      <c r="F31" s="3"/>
    </row>
    <row r="32" ht="45" customHeight="1" spans="1:6" x14ac:dyDescent="0.25">
      <c r="A32" s="2" t="s">
        <v>28</v>
      </c>
      <c r="B32" s="2"/>
      <c r="C32" s="2"/>
      <c r="D32" s="2"/>
      <c r="E32" s="2"/>
      <c r="F32" s="2"/>
    </row>
    <row r="33" spans="1:6" x14ac:dyDescent="0.25">
      <c r="A33" s="2"/>
      <c r="B33" s="2"/>
      <c r="C33" s="2"/>
      <c r="D33" s="2"/>
      <c r="E33" s="2"/>
      <c r="F33" s="2"/>
    </row>
    <row r="34" spans="1:6" x14ac:dyDescent="0.25">
      <c r="A34" s="3" t="s">
        <v>29</v>
      </c>
      <c r="B34" s="3"/>
      <c r="C34" s="3"/>
      <c r="D34" s="3"/>
      <c r="E34" s="3"/>
      <c r="F34" s="3"/>
    </row>
    <row r="35" ht="105" customHeight="1" spans="1:6" x14ac:dyDescent="0.25">
      <c r="A35" s="2" t="s">
        <v>30</v>
      </c>
      <c r="B35" s="2"/>
      <c r="C35" s="2"/>
      <c r="D35" s="2"/>
      <c r="E35" s="2"/>
      <c r="F35" s="2"/>
    </row>
    <row r="36" spans="1:6" x14ac:dyDescent="0.25">
      <c r="A36" s="2"/>
      <c r="B36" s="2"/>
      <c r="C36" s="2"/>
      <c r="D36" s="2"/>
      <c r="E36" s="2"/>
      <c r="F36" s="2"/>
    </row>
    <row r="37" spans="1:6" x14ac:dyDescent="0.25">
      <c r="A37" s="2"/>
      <c r="B37" s="2"/>
      <c r="C37" s="2"/>
      <c r="D37" s="2"/>
      <c r="E37" s="2"/>
      <c r="F37" s="2"/>
    </row>
    <row r="38" ht="32" customHeight="1" spans="1:6" x14ac:dyDescent="0.25">
      <c r="A38" s="10" t="s">
        <v>31</v>
      </c>
      <c r="B38" s="10"/>
      <c r="C38" s="10"/>
      <c r="D38" s="10"/>
      <c r="E38" s="10"/>
      <c r="F38"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1:F21"/>
    <mergeCell ref="A22:F22"/>
    <mergeCell ref="A23:F23"/>
    <mergeCell ref="A25:F25"/>
    <mergeCell ref="A31:F31"/>
    <mergeCell ref="A32:F32"/>
    <mergeCell ref="A34:F34"/>
    <mergeCell ref="A35:F35"/>
    <mergeCell ref="A38:F38"/>
  </mergeCells>
  <hyperlinks>
    <hyperlink ref="A38"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workbookViewId="0">
      <pane ySplit="9" topLeftCell="A10" activePane="bottomLeft" state="frozen"/>
      <selection pane="bottomLeft"/>
    </sheetView>
  </sheetViews>
  <sheetFormatPr defaultRowHeight="15" outlineLevelRow="0" outlineLevelCol="0" x14ac:dyDescent="55"/>
  <cols>
    <col min="1" max="1" width="22" customWidth="1"/>
    <col min="2" max="2" width="30" customWidth="1"/>
    <col min="4" max="4" width="7" customWidth="1"/>
    <col min="5" max="5" width="11" customWidth="1"/>
    <col min="6" max="6" width="7" customWidth="1"/>
    <col min="7" max="7" width="22" customWidth="1"/>
    <col min="8" max="8" width="13" customWidth="1"/>
  </cols>
  <sheetData>
    <row r="1" spans="1:8" x14ac:dyDescent="0.25">
      <c r="A1" s="11" t="s">
        <v>32</v>
      </c>
      <c r="B1" s="12" t="s">
        <v>33</v>
      </c>
      <c r="C1" s="13" t="s">
        <v>34</v>
      </c>
      <c r="D1" s="13"/>
      <c r="E1" s="13"/>
      <c r="F1" s="13"/>
      <c r="G1" s="13"/>
      <c r="H1" s="13"/>
    </row>
    <row r="2" spans="1:8" x14ac:dyDescent="0.25">
      <c r="A2" s="11" t="s">
        <v>35</v>
      </c>
      <c r="B2" s="12" t="s">
        <v>36</v>
      </c>
      <c r="C2" s="13" t="s">
        <v>37</v>
      </c>
      <c r="D2" s="13"/>
      <c r="E2" s="13"/>
      <c r="F2" s="13"/>
      <c r="G2" s="13"/>
      <c r="H2" s="13"/>
    </row>
    <row r="3" spans="1:8" x14ac:dyDescent="0.25">
      <c r="A3" s="11" t="s">
        <v>38</v>
      </c>
      <c r="B3" s="12" t="s">
        <v>39</v>
      </c>
      <c r="C3" s="13" t="s">
        <v>40</v>
      </c>
      <c r="D3" s="13"/>
      <c r="E3" s="13"/>
      <c r="F3" s="13"/>
      <c r="G3" s="13"/>
      <c r="H3" s="13"/>
    </row>
    <row r="4" spans="1:8" x14ac:dyDescent="0.25">
      <c r="A4" s="11" t="s">
        <v>41</v>
      </c>
      <c r="B4" s="14">
        <v>120</v>
      </c>
      <c r="C4" s="13" t="s">
        <v>42</v>
      </c>
      <c r="D4" s="13"/>
      <c r="E4" s="13"/>
      <c r="F4" s="13"/>
      <c r="G4" s="13"/>
      <c r="H4" s="13"/>
    </row>
    <row r="5" spans="1:8" x14ac:dyDescent="0.25">
      <c r="A5" s="11" t="s">
        <v>43</v>
      </c>
      <c r="B5" s="14">
        <v>208</v>
      </c>
      <c r="C5" s="13" t="s">
        <v>44</v>
      </c>
      <c r="D5" s="13"/>
      <c r="E5" s="13"/>
      <c r="F5" s="13"/>
      <c r="G5" s="13"/>
      <c r="H5" s="13"/>
    </row>
    <row r="6" spans="1:8" x14ac:dyDescent="0.25">
      <c r="A6" s="11" t="s">
        <v>45</v>
      </c>
      <c r="B6" s="14">
        <v>225</v>
      </c>
      <c r="C6" s="13" t="s">
        <v>46</v>
      </c>
      <c r="D6" s="13"/>
      <c r="E6" s="13"/>
      <c r="F6" s="13"/>
      <c r="G6" s="13"/>
      <c r="H6" s="13"/>
    </row>
    <row r="7" spans="1:8" x14ac:dyDescent="0.25">
      <c r="A7" s="11" t="s">
        <v>47</v>
      </c>
      <c r="B7" s="14">
        <v>30</v>
      </c>
      <c r="C7" s="13" t="s">
        <v>48</v>
      </c>
      <c r="D7" s="13"/>
      <c r="E7" s="13"/>
      <c r="F7" s="13"/>
      <c r="G7" s="13"/>
      <c r="H7" s="13"/>
    </row>
    <row r="9" ht="112" customHeight="1" spans="1:8" x14ac:dyDescent="0.25">
      <c r="A9" s="15" t="s">
        <v>49</v>
      </c>
      <c r="B9" s="15" t="s">
        <v>50</v>
      </c>
      <c r="C9" s="15" t="s">
        <v>51</v>
      </c>
      <c r="D9" s="15" t="s">
        <v>52</v>
      </c>
      <c r="E9" s="15" t="s">
        <v>53</v>
      </c>
      <c r="F9" s="15" t="s">
        <v>54</v>
      </c>
      <c r="G9" s="15" t="s">
        <v>55</v>
      </c>
      <c r="H9" s="15" t="s">
        <v>56</v>
      </c>
    </row>
    <row r="10" ht="18" customHeight="1" spans="1:8" x14ac:dyDescent="0.25">
      <c r="A10" s="16">
        <v>1</v>
      </c>
      <c r="B10" s="17" t="s">
        <v>57</v>
      </c>
      <c r="C10" s="18">
        <v>20</v>
      </c>
      <c r="D10" s="18">
        <v>1</v>
      </c>
      <c r="E10" s="19">
        <v>1440</v>
      </c>
      <c r="F10" s="20" t="str">
        <f>IF(COUNTA($B10:$E10)&gt;0,CHOOSE(MOD(INT(($A10-1)/2),3)+1,"A","B","C"),"")</f>
        <v>A</v>
      </c>
      <c r="G10" s="21">
        <f>IF(COUNTA($B10:$E10)&gt;0,IF(AND(ISNUMBER($B$4),N($B$4)&gt;=1,N($B$4)&lt;=1000),IF($B$4=0,"n/a",N($E10)/$B$4),"n/a"),"")</f>
        <v>12</v>
      </c>
      <c r="H10" s="20" t="str">
        <f>IF(N($A10)&lt;&gt;1,"Check ID",IF(NOT(COUNTA($B10:$E10)&gt;0),"",IF(AND(AND(AND(ISNUMBER($B$7),N($B$7)&gt;=2,N($B$7)&lt;=42),MOD(N($B$7),2)=0),$A10&gt;$B$7),"Beyond spaces",IF(OR(AND($C10&lt;&gt;"",NOT(AND(ISNUMBER($C10),N($C10)&gt;=0,N($C10)&lt;=1200))),AND($C10&lt;&gt;"",NOT(OR($D10=1,$D10=2,$D10=3))),AND($C10="",$D10&lt;&gt;""),AND($E10&lt;&gt;"",NOT(AND(ISNUMBER($E10),N($E10)&gt;=0,N($E10)&lt;=100000)))),"Check inputs",IF(OR(AND($C10="",NOT(FALSE)),AND($C10&lt;&gt;"",OR(AND(OR($D10=2,$D10=3),$C12&lt;&gt;""),AND($D10=3,$C14&lt;&gt;""))),AND($C10&lt;&gt;"",AND(AND(ISNUMBER($B$7),N($B$7)&gt;=2,N($B$7)&lt;=42),MOD(N($B$7),2)=0),OR(AND($D10=2,$A10+2&gt;$B$7),AND($D10=3,$A10+4&gt;$B$7)))),"Check poles","OK")))))</f>
        <v>OK</v>
      </c>
    </row>
    <row r="11" ht="18" customHeight="1" spans="1:8" x14ac:dyDescent="0.25">
      <c r="A11" s="16">
        <v>2</v>
      </c>
      <c r="B11" s="17" t="s">
        <v>58</v>
      </c>
      <c r="C11" s="18">
        <v>20</v>
      </c>
      <c r="D11" s="18">
        <v>1</v>
      </c>
      <c r="E11" s="19">
        <v>1080</v>
      </c>
      <c r="F11" s="20" t="str">
        <f>IF(COUNTA($B11:$E11)&gt;0,CHOOSE(MOD(INT(($A11-1)/2),3)+1,"A","B","C"),"")</f>
        <v>A</v>
      </c>
      <c r="G11" s="21">
        <f>IF(COUNTA($B11:$E11)&gt;0,IF(AND(ISNUMBER($B$4),N($B$4)&gt;=1,N($B$4)&lt;=1000),IF($B$4=0,"n/a",N($E11)/$B$4),"n/a"),"")</f>
        <v>9</v>
      </c>
      <c r="H11" s="20" t="str">
        <f>IF(N($A11)&lt;&gt;2,"Check ID",IF(NOT(COUNTA($B11:$E11)&gt;0),"",IF(AND(AND(AND(ISNUMBER($B$7),N($B$7)&gt;=2,N($B$7)&lt;=42),MOD(N($B$7),2)=0),$A11&gt;$B$7),"Beyond spaces",IF(OR(AND($C11&lt;&gt;"",NOT(AND(ISNUMBER($C11),N($C11)&gt;=0,N($C11)&lt;=1200))),AND($C11&lt;&gt;"",NOT(OR($D11=1,$D11=2,$D11=3))),AND($C11="",$D11&lt;&gt;""),AND($E11&lt;&gt;"",NOT(AND(ISNUMBER($E11),N($E11)&gt;=0,N($E11)&lt;=100000)))),"Check inputs",IF(OR(AND($C11="",NOT(FALSE)),AND($C11&lt;&gt;"",OR(AND(OR($D11=2,$D11=3),$C13&lt;&gt;""),AND($D11=3,$C15&lt;&gt;""))),AND($C11&lt;&gt;"",AND(AND(ISNUMBER($B$7),N($B$7)&gt;=2,N($B$7)&lt;=42),MOD(N($B$7),2)=0),OR(AND($D11=2,$A11+2&gt;$B$7),AND($D11=3,$A11+4&gt;$B$7)))),"Check poles","OK")))))</f>
        <v>OK</v>
      </c>
    </row>
    <row r="12" ht="18" customHeight="1" spans="1:8" x14ac:dyDescent="0.25">
      <c r="A12" s="16">
        <v>3</v>
      </c>
      <c r="B12" s="17" t="s">
        <v>59</v>
      </c>
      <c r="C12" s="18">
        <v>20</v>
      </c>
      <c r="D12" s="18">
        <v>1</v>
      </c>
      <c r="E12" s="19">
        <v>1800</v>
      </c>
      <c r="F12" s="20" t="str">
        <f>IF(COUNTA($B12:$E12)&gt;0,CHOOSE(MOD(INT(($A12-1)/2),3)+1,"A","B","C"),"")</f>
        <v>B</v>
      </c>
      <c r="G12" s="21">
        <f>IF(COUNTA($B12:$E12)&gt;0,IF(AND(ISNUMBER($B$4),N($B$4)&gt;=1,N($B$4)&lt;=1000),IF($B$4=0,"n/a",N($E12)/$B$4),"n/a"),"")</f>
        <v>15</v>
      </c>
      <c r="H12" s="20" t="str">
        <f>IF(N($A12)&lt;&gt;3,"Check ID",IF(NOT(COUNTA($B12:$E12)&gt;0),"",IF(AND(AND(AND(ISNUMBER($B$7),N($B$7)&gt;=2,N($B$7)&lt;=42),MOD(N($B$7),2)=0),$A12&gt;$B$7),"Beyond spaces",IF(OR(AND($C12&lt;&gt;"",NOT(AND(ISNUMBER($C12),N($C12)&gt;=0,N($C12)&lt;=1200))),AND($C12&lt;&gt;"",NOT(OR($D12=1,$D12=2,$D12=3))),AND($C12="",$D12&lt;&gt;""),AND($E12&lt;&gt;"",NOT(AND(ISNUMBER($E12),N($E12)&gt;=0,N($E12)&lt;=100000)))),"Check inputs",IF(OR(AND($C12="",NOT(OR(AND($C10&lt;&gt;"",OR($D10=2,$D10=3))))),AND($C12&lt;&gt;"",OR(AND(OR($D12=2,$D12=3),$C14&lt;&gt;""),AND($D12=3,$C16&lt;&gt;""))),AND($C12&lt;&gt;"",AND(AND(ISNUMBER($B$7),N($B$7)&gt;=2,N($B$7)&lt;=42),MOD(N($B$7),2)=0),OR(AND($D12=2,$A12+2&gt;$B$7),AND($D12=3,$A12+4&gt;$B$7)))),"Check poles","OK")))))</f>
        <v>OK</v>
      </c>
    </row>
    <row r="13" ht="18" customHeight="1" spans="1:8" x14ac:dyDescent="0.25">
      <c r="A13" s="16">
        <v>4</v>
      </c>
      <c r="B13" s="17" t="s">
        <v>60</v>
      </c>
      <c r="C13" s="18">
        <v>20</v>
      </c>
      <c r="D13" s="18">
        <v>1</v>
      </c>
      <c r="E13" s="19">
        <v>1500</v>
      </c>
      <c r="F13" s="20" t="str">
        <f>IF(COUNTA($B13:$E13)&gt;0,CHOOSE(MOD(INT(($A13-1)/2),3)+1,"A","B","C"),"")</f>
        <v>B</v>
      </c>
      <c r="G13" s="21">
        <f>IF(COUNTA($B13:$E13)&gt;0,IF(AND(ISNUMBER($B$4),N($B$4)&gt;=1,N($B$4)&lt;=1000),IF($B$4=0,"n/a",N($E13)/$B$4),"n/a"),"")</f>
        <v>12.5</v>
      </c>
      <c r="H13" s="20" t="str">
        <f>IF(N($A13)&lt;&gt;4,"Check ID",IF(NOT(COUNTA($B13:$E13)&gt;0),"",IF(AND(AND(AND(ISNUMBER($B$7),N($B$7)&gt;=2,N($B$7)&lt;=42),MOD(N($B$7),2)=0),$A13&gt;$B$7),"Beyond spaces",IF(OR(AND($C13&lt;&gt;"",NOT(AND(ISNUMBER($C13),N($C13)&gt;=0,N($C13)&lt;=1200))),AND($C13&lt;&gt;"",NOT(OR($D13=1,$D13=2,$D13=3))),AND($C13="",$D13&lt;&gt;""),AND($E13&lt;&gt;"",NOT(AND(ISNUMBER($E13),N($E13)&gt;=0,N($E13)&lt;=100000)))),"Check inputs",IF(OR(AND($C13="",NOT(OR(AND($C11&lt;&gt;"",OR($D11=2,$D11=3))))),AND($C13&lt;&gt;"",OR(AND(OR($D13=2,$D13=3),$C15&lt;&gt;""),AND($D13=3,$C17&lt;&gt;""))),AND($C13&lt;&gt;"",AND(AND(ISNUMBER($B$7),N($B$7)&gt;=2,N($B$7)&lt;=42),MOD(N($B$7),2)=0),OR(AND($D13=2,$A13+2&gt;$B$7),AND($D13=3,$A13+4&gt;$B$7)))),"Check poles","OK")))))</f>
        <v>OK</v>
      </c>
    </row>
    <row r="14" ht="18" customHeight="1" spans="1:8" x14ac:dyDescent="0.25">
      <c r="A14" s="16">
        <v>5</v>
      </c>
      <c r="B14" s="17" t="s">
        <v>61</v>
      </c>
      <c r="C14" s="18">
        <v>20</v>
      </c>
      <c r="D14" s="18">
        <v>1</v>
      </c>
      <c r="E14" s="19">
        <v>960</v>
      </c>
      <c r="F14" s="20" t="str">
        <f>IF(COUNTA($B14:$E14)&gt;0,CHOOSE(MOD(INT(($A14-1)/2),3)+1,"A","B","C"),"")</f>
        <v>C</v>
      </c>
      <c r="G14" s="21">
        <f>IF(COUNTA($B14:$E14)&gt;0,IF(AND(ISNUMBER($B$4),N($B$4)&gt;=1,N($B$4)&lt;=1000),IF($B$4=0,"n/a",N($E14)/$B$4),"n/a"),"")</f>
        <v>8</v>
      </c>
      <c r="H14" s="20" t="str">
        <f>IF(N($A14)&lt;&gt;5,"Check ID",IF(NOT(COUNTA($B14:$E14)&gt;0),"",IF(AND(AND(AND(ISNUMBER($B$7),N($B$7)&gt;=2,N($B$7)&lt;=42),MOD(N($B$7),2)=0),$A14&gt;$B$7),"Beyond spaces",IF(OR(AND($C14&lt;&gt;"",NOT(AND(ISNUMBER($C14),N($C14)&gt;=0,N($C14)&lt;=1200))),AND($C14&lt;&gt;"",NOT(OR($D14=1,$D14=2,$D14=3))),AND($C14="",$D14&lt;&gt;""),AND($E14&lt;&gt;"",NOT(AND(ISNUMBER($E14),N($E14)&gt;=0,N($E14)&lt;=100000)))),"Check inputs",IF(OR(AND($C14="",NOT(OR(AND($C12&lt;&gt;"",OR($D12=2,$D12=3)),AND($C10&lt;&gt;"",$D10=3)))),AND($C14&lt;&gt;"",OR(AND(OR($D14=2,$D14=3),$C16&lt;&gt;""),AND($D14=3,$C18&lt;&gt;""))),AND($C14&lt;&gt;"",AND(AND(ISNUMBER($B$7),N($B$7)&gt;=2,N($B$7)&lt;=42),MOD(N($B$7),2)=0),OR(AND($D14=2,$A14+2&gt;$B$7),AND($D14=3,$A14+4&gt;$B$7)))),"Check poles","OK")))))</f>
        <v>OK</v>
      </c>
    </row>
    <row r="15" ht="18" customHeight="1" spans="1:8" x14ac:dyDescent="0.25">
      <c r="A15" s="16">
        <v>6</v>
      </c>
      <c r="B15" s="17" t="s">
        <v>62</v>
      </c>
      <c r="C15" s="18">
        <v>30</v>
      </c>
      <c r="D15" s="18">
        <v>2</v>
      </c>
      <c r="E15" s="19">
        <v>2250</v>
      </c>
      <c r="F15" s="20" t="str">
        <f>IF(COUNTA($B15:$E15)&gt;0,CHOOSE(MOD(INT(($A15-1)/2),3)+1,"A","B","C"),"")</f>
        <v>C</v>
      </c>
      <c r="G15" s="21">
        <f>IF(COUNTA($B15:$E15)&gt;0,IF(AND(ISNUMBER($B$4),N($B$4)&gt;=1,N($B$4)&lt;=1000),IF($B$4=0,"n/a",N($E15)/$B$4),"n/a"),"")</f>
        <v>18.75</v>
      </c>
      <c r="H15" s="20" t="str">
        <f>IF(N($A15)&lt;&gt;6,"Check ID",IF(NOT(COUNTA($B15:$E15)&gt;0),"",IF(AND(AND(AND(ISNUMBER($B$7),N($B$7)&gt;=2,N($B$7)&lt;=42),MOD(N($B$7),2)=0),$A15&gt;$B$7),"Beyond spaces",IF(OR(AND($C15&lt;&gt;"",NOT(AND(ISNUMBER($C15),N($C15)&gt;=0,N($C15)&lt;=1200))),AND($C15&lt;&gt;"",NOT(OR($D15=1,$D15=2,$D15=3))),AND($C15="",$D15&lt;&gt;""),AND($E15&lt;&gt;"",NOT(AND(ISNUMBER($E15),N($E15)&gt;=0,N($E15)&lt;=100000)))),"Check inputs",IF(OR(AND($C15="",NOT(OR(AND($C13&lt;&gt;"",OR($D13=2,$D13=3)),AND($C11&lt;&gt;"",$D11=3)))),AND($C15&lt;&gt;"",OR(AND(OR($D15=2,$D15=3),$C17&lt;&gt;""),AND($D15=3,$C19&lt;&gt;""))),AND($C15&lt;&gt;"",AND(AND(ISNUMBER($B$7),N($B$7)&gt;=2,N($B$7)&lt;=42),MOD(N($B$7),2)=0),OR(AND($D15=2,$A15+2&gt;$B$7),AND($D15=3,$A15+4&gt;$B$7)))),"Check poles","OK")))))</f>
        <v>OK</v>
      </c>
    </row>
    <row r="16" ht="18" customHeight="1" spans="1:8" x14ac:dyDescent="0.25">
      <c r="A16" s="16">
        <v>7</v>
      </c>
      <c r="B16" s="17" t="s">
        <v>63</v>
      </c>
      <c r="C16" s="18">
        <v>40</v>
      </c>
      <c r="D16" s="18">
        <v>3</v>
      </c>
      <c r="E16" s="19">
        <v>2900</v>
      </c>
      <c r="F16" s="20" t="str">
        <f>IF(COUNTA($B16:$E16)&gt;0,CHOOSE(MOD(INT(($A16-1)/2),3)+1,"A","B","C"),"")</f>
        <v>A</v>
      </c>
      <c r="G16" s="21">
        <f>IF(COUNTA($B16:$E16)&gt;0,IF(AND(ISNUMBER($B$4),N($B$4)&gt;=1,N($B$4)&lt;=1000),IF($B$4=0,"n/a",N($E16)/$B$4),"n/a"),"")</f>
        <v>24.1666666666667</v>
      </c>
      <c r="H16" s="20" t="str">
        <f>IF(N($A16)&lt;&gt;7,"Check ID",IF(NOT(COUNTA($B16:$E16)&gt;0),"",IF(AND(AND(AND(ISNUMBER($B$7),N($B$7)&gt;=2,N($B$7)&lt;=42),MOD(N($B$7),2)=0),$A16&gt;$B$7),"Beyond spaces",IF(OR(AND($C16&lt;&gt;"",NOT(AND(ISNUMBER($C16),N($C16)&gt;=0,N($C16)&lt;=1200))),AND($C16&lt;&gt;"",NOT(OR($D16=1,$D16=2,$D16=3))),AND($C16="",$D16&lt;&gt;""),AND($E16&lt;&gt;"",NOT(AND(ISNUMBER($E16),N($E16)&gt;=0,N($E16)&lt;=100000)))),"Check inputs",IF(OR(AND($C16="",NOT(OR(AND($C14&lt;&gt;"",OR($D14=2,$D14=3)),AND($C12&lt;&gt;"",$D12=3)))),AND($C16&lt;&gt;"",OR(AND(OR($D16=2,$D16=3),$C18&lt;&gt;""),AND($D16=3,$C20&lt;&gt;""))),AND($C16&lt;&gt;"",AND(AND(ISNUMBER($B$7),N($B$7)&gt;=2,N($B$7)&lt;=42),MOD(N($B$7),2)=0),OR(AND($D16=2,$A16+2&gt;$B$7),AND($D16=3,$A16+4&gt;$B$7)))),"Check poles","OK")))))</f>
        <v>OK</v>
      </c>
    </row>
    <row r="17" ht="18" customHeight="1" spans="1:8" x14ac:dyDescent="0.25">
      <c r="A17" s="16">
        <v>8</v>
      </c>
      <c r="B17" s="17" t="s">
        <v>64</v>
      </c>
      <c r="C17" s="18"/>
      <c r="D17" s="18"/>
      <c r="E17" s="19">
        <v>2250</v>
      </c>
      <c r="F17" s="20" t="str">
        <f>IF(COUNTA($B17:$E17)&gt;0,CHOOSE(MOD(INT(($A17-1)/2),3)+1,"A","B","C"),"")</f>
        <v>A</v>
      </c>
      <c r="G17" s="21">
        <f>IF(COUNTA($B17:$E17)&gt;0,IF(AND(ISNUMBER($B$4),N($B$4)&gt;=1,N($B$4)&lt;=1000),IF($B$4=0,"n/a",N($E17)/$B$4),"n/a"),"")</f>
        <v>18.75</v>
      </c>
      <c r="H17" s="20" t="str">
        <f>IF(N($A17)&lt;&gt;8,"Check ID",IF(NOT(COUNTA($B17:$E17)&gt;0),"",IF(AND(AND(AND(ISNUMBER($B$7),N($B$7)&gt;=2,N($B$7)&lt;=42),MOD(N($B$7),2)=0),$A17&gt;$B$7),"Beyond spaces",IF(OR(AND($C17&lt;&gt;"",NOT(AND(ISNUMBER($C17),N($C17)&gt;=0,N($C17)&lt;=1200))),AND($C17&lt;&gt;"",NOT(OR($D17=1,$D17=2,$D17=3))),AND($C17="",$D17&lt;&gt;""),AND($E17&lt;&gt;"",NOT(AND(ISNUMBER($E17),N($E17)&gt;=0,N($E17)&lt;=100000)))),"Check inputs",IF(OR(AND($C17="",NOT(OR(AND($C15&lt;&gt;"",OR($D15=2,$D15=3)),AND($C13&lt;&gt;"",$D13=3)))),AND($C17&lt;&gt;"",OR(AND(OR($D17=2,$D17=3),$C19&lt;&gt;""),AND($D17=3,$C21&lt;&gt;""))),AND($C17&lt;&gt;"",AND(AND(ISNUMBER($B$7),N($B$7)&gt;=2,N($B$7)&lt;=42),MOD(N($B$7),2)=0),OR(AND($D17=2,$A17+2&gt;$B$7),AND($D17=3,$A17+4&gt;$B$7)))),"Check poles","OK")))))</f>
        <v>OK</v>
      </c>
    </row>
    <row r="18" ht="18" customHeight="1" spans="1:8" x14ac:dyDescent="0.25">
      <c r="A18" s="16">
        <v>9</v>
      </c>
      <c r="B18" s="17" t="s">
        <v>65</v>
      </c>
      <c r="C18" s="18"/>
      <c r="D18" s="18"/>
      <c r="E18" s="19">
        <v>2900</v>
      </c>
      <c r="F18" s="20" t="str">
        <f>IF(COUNTA($B18:$E18)&gt;0,CHOOSE(MOD(INT(($A18-1)/2),3)+1,"A","B","C"),"")</f>
        <v>B</v>
      </c>
      <c r="G18" s="21">
        <f>IF(COUNTA($B18:$E18)&gt;0,IF(AND(ISNUMBER($B$4),N($B$4)&gt;=1,N($B$4)&lt;=1000),IF($B$4=0,"n/a",N($E18)/$B$4),"n/a"),"")</f>
        <v>24.1666666666667</v>
      </c>
      <c r="H18" s="20" t="str">
        <f>IF(N($A18)&lt;&gt;9,"Check ID",IF(NOT(COUNTA($B18:$E18)&gt;0),"",IF(AND(AND(AND(ISNUMBER($B$7),N($B$7)&gt;=2,N($B$7)&lt;=42),MOD(N($B$7),2)=0),$A18&gt;$B$7),"Beyond spaces",IF(OR(AND($C18&lt;&gt;"",NOT(AND(ISNUMBER($C18),N($C18)&gt;=0,N($C18)&lt;=1200))),AND($C18&lt;&gt;"",NOT(OR($D18=1,$D18=2,$D18=3))),AND($C18="",$D18&lt;&gt;""),AND($E18&lt;&gt;"",NOT(AND(ISNUMBER($E18),N($E18)&gt;=0,N($E18)&lt;=100000)))),"Check inputs",IF(OR(AND($C18="",NOT(OR(AND($C16&lt;&gt;"",OR($D16=2,$D16=3)),AND($C14&lt;&gt;"",$D14=3)))),AND($C18&lt;&gt;"",OR(AND(OR($D18=2,$D18=3),$C20&lt;&gt;""),AND($D18=3,$C22&lt;&gt;""))),AND($C18&lt;&gt;"",AND(AND(ISNUMBER($B$7),N($B$7)&gt;=2,N($B$7)&lt;=42),MOD(N($B$7),2)=0),OR(AND($D18=2,$A18+2&gt;$B$7),AND($D18=3,$A18+4&gt;$B$7)))),"Check poles","OK")))))</f>
        <v>OK</v>
      </c>
    </row>
    <row r="19" ht="18" customHeight="1" spans="1:8" x14ac:dyDescent="0.25">
      <c r="A19" s="16">
        <v>10</v>
      </c>
      <c r="B19" s="17" t="s">
        <v>66</v>
      </c>
      <c r="C19" s="18">
        <v>20</v>
      </c>
      <c r="D19" s="18">
        <v>1</v>
      </c>
      <c r="E19" s="19">
        <v>1200</v>
      </c>
      <c r="F19" s="20" t="str">
        <f>IF(COUNTA($B19:$E19)&gt;0,CHOOSE(MOD(INT(($A19-1)/2),3)+1,"A","B","C"),"")</f>
        <v>B</v>
      </c>
      <c r="G19" s="21">
        <f>IF(COUNTA($B19:$E19)&gt;0,IF(AND(ISNUMBER($B$4),N($B$4)&gt;=1,N($B$4)&lt;=1000),IF($B$4=0,"n/a",N($E19)/$B$4),"n/a"),"")</f>
        <v>10</v>
      </c>
      <c r="H19" s="20" t="str">
        <f>IF(N($A19)&lt;&gt;10,"Check ID",IF(NOT(COUNTA($B19:$E19)&gt;0),"",IF(AND(AND(AND(ISNUMBER($B$7),N($B$7)&gt;=2,N($B$7)&lt;=42),MOD(N($B$7),2)=0),$A19&gt;$B$7),"Beyond spaces",IF(OR(AND($C19&lt;&gt;"",NOT(AND(ISNUMBER($C19),N($C19)&gt;=0,N($C19)&lt;=1200))),AND($C19&lt;&gt;"",NOT(OR($D19=1,$D19=2,$D19=3))),AND($C19="",$D19&lt;&gt;""),AND($E19&lt;&gt;"",NOT(AND(ISNUMBER($E19),N($E19)&gt;=0,N($E19)&lt;=100000)))),"Check inputs",IF(OR(AND($C19="",NOT(OR(AND($C17&lt;&gt;"",OR($D17=2,$D17=3)),AND($C15&lt;&gt;"",$D15=3)))),AND($C19&lt;&gt;"",OR(AND(OR($D19=2,$D19=3),$C21&lt;&gt;""),AND($D19=3,$C23&lt;&gt;""))),AND($C19&lt;&gt;"",AND(AND(ISNUMBER($B$7),N($B$7)&gt;=2,N($B$7)&lt;=42),MOD(N($B$7),2)=0),OR(AND($D19=2,$A19+2&gt;$B$7),AND($D19=3,$A19+4&gt;$B$7)))),"Check poles","OK")))))</f>
        <v>OK</v>
      </c>
    </row>
    <row r="20" ht="18" customHeight="1" spans="1:8" x14ac:dyDescent="0.25">
      <c r="A20" s="16">
        <v>11</v>
      </c>
      <c r="B20" s="17" t="s">
        <v>67</v>
      </c>
      <c r="C20" s="18"/>
      <c r="D20" s="18"/>
      <c r="E20" s="19">
        <v>2900</v>
      </c>
      <c r="F20" s="20" t="str">
        <f>IF(COUNTA($B20:$E20)&gt;0,CHOOSE(MOD(INT(($A20-1)/2),3)+1,"A","B","C"),"")</f>
        <v>C</v>
      </c>
      <c r="G20" s="21">
        <f>IF(COUNTA($B20:$E20)&gt;0,IF(AND(ISNUMBER($B$4),N($B$4)&gt;=1,N($B$4)&lt;=1000),IF($B$4=0,"n/a",N($E20)/$B$4),"n/a"),"")</f>
        <v>24.1666666666667</v>
      </c>
      <c r="H20" s="20" t="str">
        <f>IF(N($A20)&lt;&gt;11,"Check ID",IF(NOT(COUNTA($B20:$E20)&gt;0),"",IF(AND(AND(AND(ISNUMBER($B$7),N($B$7)&gt;=2,N($B$7)&lt;=42),MOD(N($B$7),2)=0),$A20&gt;$B$7),"Beyond spaces",IF(OR(AND($C20&lt;&gt;"",NOT(AND(ISNUMBER($C20),N($C20)&gt;=0,N($C20)&lt;=1200))),AND($C20&lt;&gt;"",NOT(OR($D20=1,$D20=2,$D20=3))),AND($C20="",$D20&lt;&gt;""),AND($E20&lt;&gt;"",NOT(AND(ISNUMBER($E20),N($E20)&gt;=0,N($E20)&lt;=100000)))),"Check inputs",IF(OR(AND($C20="",NOT(OR(AND($C18&lt;&gt;"",OR($D18=2,$D18=3)),AND($C16&lt;&gt;"",$D16=3)))),AND($C20&lt;&gt;"",OR(AND(OR($D20=2,$D20=3),$C22&lt;&gt;""),AND($D20=3,$C24&lt;&gt;""))),AND($C20&lt;&gt;"",AND(AND(ISNUMBER($B$7),N($B$7)&gt;=2,N($B$7)&lt;=42),MOD(N($B$7),2)=0),OR(AND($D20=2,$A20+2&gt;$B$7),AND($D20=3,$A20+4&gt;$B$7)))),"Check poles","OK")))))</f>
        <v>OK</v>
      </c>
    </row>
    <row r="21" ht="18" customHeight="1" spans="1:8" x14ac:dyDescent="0.25">
      <c r="A21" s="16">
        <v>12</v>
      </c>
      <c r="B21" s="17" t="s">
        <v>68</v>
      </c>
      <c r="C21" s="18">
        <v>20</v>
      </c>
      <c r="D21" s="18">
        <v>1</v>
      </c>
      <c r="E21" s="19">
        <v>1600</v>
      </c>
      <c r="F21" s="20" t="str">
        <f>IF(COUNTA($B21:$E21)&gt;0,CHOOSE(MOD(INT(($A21-1)/2),3)+1,"A","B","C"),"")</f>
        <v>C</v>
      </c>
      <c r="G21" s="21">
        <f>IF(COUNTA($B21:$E21)&gt;0,IF(AND(ISNUMBER($B$4),N($B$4)&gt;=1,N($B$4)&lt;=1000),IF($B$4=0,"n/a",N($E21)/$B$4),"n/a"),"")</f>
        <v>13.3333333333333</v>
      </c>
      <c r="H21" s="20" t="str">
        <f>IF(N($A21)&lt;&gt;12,"Check ID",IF(NOT(COUNTA($B21:$E21)&gt;0),"",IF(AND(AND(AND(ISNUMBER($B$7),N($B$7)&gt;=2,N($B$7)&lt;=42),MOD(N($B$7),2)=0),$A21&gt;$B$7),"Beyond spaces",IF(OR(AND($C21&lt;&gt;"",NOT(AND(ISNUMBER($C21),N($C21)&gt;=0,N($C21)&lt;=1200))),AND($C21&lt;&gt;"",NOT(OR($D21=1,$D21=2,$D21=3))),AND($C21="",$D21&lt;&gt;""),AND($E21&lt;&gt;"",NOT(AND(ISNUMBER($E21),N($E21)&gt;=0,N($E21)&lt;=100000)))),"Check inputs",IF(OR(AND($C21="",NOT(OR(AND($C19&lt;&gt;"",OR($D19=2,$D19=3)),AND($C17&lt;&gt;"",$D17=3)))),AND($C21&lt;&gt;"",OR(AND(OR($D21=2,$D21=3),$C23&lt;&gt;""),AND($D21=3,$C25&lt;&gt;""))),AND($C21&lt;&gt;"",AND(AND(ISNUMBER($B$7),N($B$7)&gt;=2,N($B$7)&lt;=42),MOD(N($B$7),2)=0),OR(AND($D21=2,$A21+2&gt;$B$7),AND($D21=3,$A21+4&gt;$B$7)))),"Check poles","OK")))))</f>
        <v>OK</v>
      </c>
    </row>
    <row r="22" ht="18" customHeight="1" spans="1:8" x14ac:dyDescent="0.25">
      <c r="A22" s="16">
        <v>13</v>
      </c>
      <c r="B22" s="17" t="s">
        <v>69</v>
      </c>
      <c r="C22" s="18">
        <v>15</v>
      </c>
      <c r="D22" s="18">
        <v>1</v>
      </c>
      <c r="E22" s="19">
        <v>720</v>
      </c>
      <c r="F22" s="20" t="str">
        <f>IF(COUNTA($B22:$E22)&gt;0,CHOOSE(MOD(INT(($A22-1)/2),3)+1,"A","B","C"),"")</f>
        <v>A</v>
      </c>
      <c r="G22" s="21">
        <f>IF(COUNTA($B22:$E22)&gt;0,IF(AND(ISNUMBER($B$4),N($B$4)&gt;=1,N($B$4)&lt;=1000),IF($B$4=0,"n/a",N($E22)/$B$4),"n/a"),"")</f>
        <v>6</v>
      </c>
      <c r="H22" s="20" t="str">
        <f>IF(N($A22)&lt;&gt;13,"Check ID",IF(NOT(COUNTA($B22:$E22)&gt;0),"",IF(AND(AND(AND(ISNUMBER($B$7),N($B$7)&gt;=2,N($B$7)&lt;=42),MOD(N($B$7),2)=0),$A22&gt;$B$7),"Beyond spaces",IF(OR(AND($C22&lt;&gt;"",NOT(AND(ISNUMBER($C22),N($C22)&gt;=0,N($C22)&lt;=1200))),AND($C22&lt;&gt;"",NOT(OR($D22=1,$D22=2,$D22=3))),AND($C22="",$D22&lt;&gt;""),AND($E22&lt;&gt;"",NOT(AND(ISNUMBER($E22),N($E22)&gt;=0,N($E22)&lt;=100000)))),"Check inputs",IF(OR(AND($C22="",NOT(OR(AND($C20&lt;&gt;"",OR($D20=2,$D20=3)),AND($C18&lt;&gt;"",$D18=3)))),AND($C22&lt;&gt;"",OR(AND(OR($D22=2,$D22=3),$C24&lt;&gt;""),AND($D22=3,$C26&lt;&gt;""))),AND($C22&lt;&gt;"",AND(AND(ISNUMBER($B$7),N($B$7)&gt;=2,N($B$7)&lt;=42),MOD(N($B$7),2)=0),OR(AND($D22=2,$A22+2&gt;$B$7),AND($D22=3,$A22+4&gt;$B$7)))),"Check poles","OK")))))</f>
        <v>OK</v>
      </c>
    </row>
    <row r="23" ht="18" customHeight="1" spans="1:8" x14ac:dyDescent="0.25">
      <c r="A23" s="16">
        <v>14</v>
      </c>
      <c r="B23" s="17" t="s">
        <v>70</v>
      </c>
      <c r="C23" s="18">
        <v>20</v>
      </c>
      <c r="D23" s="18">
        <v>1</v>
      </c>
      <c r="E23" s="19">
        <v>0</v>
      </c>
      <c r="F23" s="20" t="str">
        <f>IF(COUNTA($B23:$E23)&gt;0,CHOOSE(MOD(INT(($A23-1)/2),3)+1,"A","B","C"),"")</f>
        <v>A</v>
      </c>
      <c r="G23" s="21">
        <f>IF(COUNTA($B23:$E23)&gt;0,IF(AND(ISNUMBER($B$4),N($B$4)&gt;=1,N($B$4)&lt;=1000),IF($B$4=0,"n/a",N($E23)/$B$4),"n/a"),"")</f>
        <v>0</v>
      </c>
      <c r="H23" s="20" t="str">
        <f>IF(N($A23)&lt;&gt;14,"Check ID",IF(NOT(COUNTA($B23:$E23)&gt;0),"",IF(AND(AND(AND(ISNUMBER($B$7),N($B$7)&gt;=2,N($B$7)&lt;=42),MOD(N($B$7),2)=0),$A23&gt;$B$7),"Beyond spaces",IF(OR(AND($C23&lt;&gt;"",NOT(AND(ISNUMBER($C23),N($C23)&gt;=0,N($C23)&lt;=1200))),AND($C23&lt;&gt;"",NOT(OR($D23=1,$D23=2,$D23=3))),AND($C23="",$D23&lt;&gt;""),AND($E23&lt;&gt;"",NOT(AND(ISNUMBER($E23),N($E23)&gt;=0,N($E23)&lt;=100000)))),"Check inputs",IF(OR(AND($C23="",NOT(OR(AND($C21&lt;&gt;"",OR($D21=2,$D21=3)),AND($C19&lt;&gt;"",$D19=3)))),AND($C23&lt;&gt;"",OR(AND(OR($D23=2,$D23=3),$C25&lt;&gt;""),AND($D23=3,$C27&lt;&gt;""))),AND($C23&lt;&gt;"",AND(AND(ISNUMBER($B$7),N($B$7)&gt;=2,N($B$7)&lt;=42),MOD(N($B$7),2)=0),OR(AND($D23=2,$A23+2&gt;$B$7),AND($D23=3,$A23+4&gt;$B$7)))),"Check poles","OK")))))</f>
        <v>OK</v>
      </c>
    </row>
    <row r="24" ht="18" customHeight="1" spans="1:8" x14ac:dyDescent="0.25">
      <c r="A24" s="16">
        <v>15</v>
      </c>
      <c r="B24" s="17" t="s">
        <v>71</v>
      </c>
      <c r="C24" s="18">
        <v>20</v>
      </c>
      <c r="D24" s="18">
        <v>1</v>
      </c>
      <c r="E24" s="19">
        <v>1260</v>
      </c>
      <c r="F24" s="20" t="str">
        <f>IF(COUNTA($B24:$E24)&gt;0,CHOOSE(MOD(INT(($A24-1)/2),3)+1,"A","B","C"),"")</f>
        <v>B</v>
      </c>
      <c r="G24" s="21">
        <f>IF(COUNTA($B24:$E24)&gt;0,IF(AND(ISNUMBER($B$4),N($B$4)&gt;=1,N($B$4)&lt;=1000),IF($B$4=0,"n/a",N($E24)/$B$4),"n/a"),"")</f>
        <v>10.5</v>
      </c>
      <c r="H24" s="20" t="str">
        <f>IF(N($A24)&lt;&gt;15,"Check ID",IF(NOT(COUNTA($B24:$E24)&gt;0),"",IF(AND(AND(AND(ISNUMBER($B$7),N($B$7)&gt;=2,N($B$7)&lt;=42),MOD(N($B$7),2)=0),$A24&gt;$B$7),"Beyond spaces",IF(OR(AND($C24&lt;&gt;"",NOT(AND(ISNUMBER($C24),N($C24)&gt;=0,N($C24)&lt;=1200))),AND($C24&lt;&gt;"",NOT(OR($D24=1,$D24=2,$D24=3))),AND($C24="",$D24&lt;&gt;""),AND($E24&lt;&gt;"",NOT(AND(ISNUMBER($E24),N($E24)&gt;=0,N($E24)&lt;=100000)))),"Check inputs",IF(OR(AND($C24="",NOT(OR(AND($C22&lt;&gt;"",OR($D22=2,$D22=3)),AND($C20&lt;&gt;"",$D20=3)))),AND($C24&lt;&gt;"",OR(AND(OR($D24=2,$D24=3),$C26&lt;&gt;""),AND($D24=3,$C28&lt;&gt;""))),AND($C24&lt;&gt;"",AND(AND(ISNUMBER($B$7),N($B$7)&gt;=2,N($B$7)&lt;=42),MOD(N($B$7),2)=0),OR(AND($D24=2,$A24+2&gt;$B$7),AND($D24=3,$A24+4&gt;$B$7)))),"Check poles","OK")))))</f>
        <v>OK</v>
      </c>
    </row>
    <row r="25" ht="18" customHeight="1" spans="1:8" x14ac:dyDescent="0.25">
      <c r="A25" s="16">
        <v>16</v>
      </c>
      <c r="B25" s="17" t="s">
        <v>72</v>
      </c>
      <c r="C25" s="18">
        <v>20</v>
      </c>
      <c r="D25" s="18">
        <v>1</v>
      </c>
      <c r="E25" s="19">
        <v>840</v>
      </c>
      <c r="F25" s="20" t="str">
        <f>IF(COUNTA($B25:$E25)&gt;0,CHOOSE(MOD(INT(($A25-1)/2),3)+1,"A","B","C"),"")</f>
        <v>B</v>
      </c>
      <c r="G25" s="21">
        <f>IF(COUNTA($B25:$E25)&gt;0,IF(AND(ISNUMBER($B$4),N($B$4)&gt;=1,N($B$4)&lt;=1000),IF($B$4=0,"n/a",N($E25)/$B$4),"n/a"),"")</f>
        <v>7</v>
      </c>
      <c r="H25" s="20" t="str">
        <f>IF(N($A25)&lt;&gt;16,"Check ID",IF(NOT(COUNTA($B25:$E25)&gt;0),"",IF(AND(AND(AND(ISNUMBER($B$7),N($B$7)&gt;=2,N($B$7)&lt;=42),MOD(N($B$7),2)=0),$A25&gt;$B$7),"Beyond spaces",IF(OR(AND($C25&lt;&gt;"",NOT(AND(ISNUMBER($C25),N($C25)&gt;=0,N($C25)&lt;=1200))),AND($C25&lt;&gt;"",NOT(OR($D25=1,$D25=2,$D25=3))),AND($C25="",$D25&lt;&gt;""),AND($E25&lt;&gt;"",NOT(AND(ISNUMBER($E25),N($E25)&gt;=0,N($E25)&lt;=100000)))),"Check inputs",IF(OR(AND($C25="",NOT(OR(AND($C23&lt;&gt;"",OR($D23=2,$D23=3)),AND($C21&lt;&gt;"",$D21=3)))),AND($C25&lt;&gt;"",OR(AND(OR($D25=2,$D25=3),$C27&lt;&gt;""),AND($D25=3,$C29&lt;&gt;""))),AND($C25&lt;&gt;"",AND(AND(ISNUMBER($B$7),N($B$7)&gt;=2,N($B$7)&lt;=42),MOD(N($B$7),2)=0),OR(AND($D25=2,$A25+2&gt;$B$7),AND($D25=3,$A25+4&gt;$B$7)))),"Check poles","OK")))))</f>
        <v>OK</v>
      </c>
    </row>
    <row r="26" ht="18" customHeight="1" spans="1:8" x14ac:dyDescent="0.25">
      <c r="A26" s="16">
        <v>17</v>
      </c>
      <c r="B26" s="17" t="s">
        <v>70</v>
      </c>
      <c r="C26" s="18">
        <v>20</v>
      </c>
      <c r="D26" s="18">
        <v>1</v>
      </c>
      <c r="E26" s="19">
        <v>0</v>
      </c>
      <c r="F26" s="20" t="str">
        <f>IF(COUNTA($B26:$E26)&gt;0,CHOOSE(MOD(INT(($A26-1)/2),3)+1,"A","B","C"),"")</f>
        <v>C</v>
      </c>
      <c r="G26" s="21">
        <f>IF(COUNTA($B26:$E26)&gt;0,IF(AND(ISNUMBER($B$4),N($B$4)&gt;=1,N($B$4)&lt;=1000),IF($B$4=0,"n/a",N($E26)/$B$4),"n/a"),"")</f>
        <v>0</v>
      </c>
      <c r="H26" s="20" t="str">
        <f>IF(N($A26)&lt;&gt;17,"Check ID",IF(NOT(COUNTA($B26:$E26)&gt;0),"",IF(AND(AND(AND(ISNUMBER($B$7),N($B$7)&gt;=2,N($B$7)&lt;=42),MOD(N($B$7),2)=0),$A26&gt;$B$7),"Beyond spaces",IF(OR(AND($C26&lt;&gt;"",NOT(AND(ISNUMBER($C26),N($C26)&gt;=0,N($C26)&lt;=1200))),AND($C26&lt;&gt;"",NOT(OR($D26=1,$D26=2,$D26=3))),AND($C26="",$D26&lt;&gt;""),AND($E26&lt;&gt;"",NOT(AND(ISNUMBER($E26),N($E26)&gt;=0,N($E26)&lt;=100000)))),"Check inputs",IF(OR(AND($C26="",NOT(OR(AND($C24&lt;&gt;"",OR($D24=2,$D24=3)),AND($C22&lt;&gt;"",$D22=3)))),AND($C26&lt;&gt;"",OR(AND(OR($D26=2,$D26=3),$C28&lt;&gt;""),AND($D26=3,$C30&lt;&gt;""))),AND($C26&lt;&gt;"",AND(AND(ISNUMBER($B$7),N($B$7)&gt;=2,N($B$7)&lt;=42),MOD(N($B$7),2)=0),OR(AND($D26=2,$A26+2&gt;$B$7),AND($D26=3,$A26+4&gt;$B$7)))),"Check poles","OK")))))</f>
        <v>OK</v>
      </c>
    </row>
    <row r="27" ht="18" customHeight="1" spans="1:8" x14ac:dyDescent="0.25">
      <c r="A27" s="16">
        <v>18</v>
      </c>
      <c r="B27" s="17" t="s">
        <v>73</v>
      </c>
      <c r="C27" s="18">
        <v>20</v>
      </c>
      <c r="D27" s="18">
        <v>1</v>
      </c>
      <c r="E27" s="19">
        <v>600</v>
      </c>
      <c r="F27" s="20" t="str">
        <f>IF(COUNTA($B27:$E27)&gt;0,CHOOSE(MOD(INT(($A27-1)/2),3)+1,"A","B","C"),"")</f>
        <v>C</v>
      </c>
      <c r="G27" s="21">
        <f>IF(COUNTA($B27:$E27)&gt;0,IF(AND(ISNUMBER($B$4),N($B$4)&gt;=1,N($B$4)&lt;=1000),IF($B$4=0,"n/a",N($E27)/$B$4),"n/a"),"")</f>
        <v>5</v>
      </c>
      <c r="H27" s="20" t="str">
        <f>IF(N($A27)&lt;&gt;18,"Check ID",IF(NOT(COUNTA($B27:$E27)&gt;0),"",IF(AND(AND(AND(ISNUMBER($B$7),N($B$7)&gt;=2,N($B$7)&lt;=42),MOD(N($B$7),2)=0),$A27&gt;$B$7),"Beyond spaces",IF(OR(AND($C27&lt;&gt;"",NOT(AND(ISNUMBER($C27),N($C27)&gt;=0,N($C27)&lt;=1200))),AND($C27&lt;&gt;"",NOT(OR($D27=1,$D27=2,$D27=3))),AND($C27="",$D27&lt;&gt;""),AND($E27&lt;&gt;"",NOT(AND(ISNUMBER($E27),N($E27)&gt;=0,N($E27)&lt;=100000)))),"Check inputs",IF(OR(AND($C27="",NOT(OR(AND($C25&lt;&gt;"",OR($D25=2,$D25=3)),AND($C23&lt;&gt;"",$D23=3)))),AND($C27&lt;&gt;"",OR(AND(OR($D27=2,$D27=3),$C29&lt;&gt;""),AND($D27=3,$C31&lt;&gt;""))),AND($C27&lt;&gt;"",AND(AND(ISNUMBER($B$7),N($B$7)&gt;=2,N($B$7)&lt;=42),MOD(N($B$7),2)=0),OR(AND($D27=2,$A27+2&gt;$B$7),AND($D27=3,$A27+4&gt;$B$7)))),"Check poles","OK")))))</f>
        <v>OK</v>
      </c>
    </row>
    <row r="28" ht="18" customHeight="1" spans="1:8" x14ac:dyDescent="0.25">
      <c r="A28" s="16">
        <v>19</v>
      </c>
      <c r="B28" s="17"/>
      <c r="C28" s="18"/>
      <c r="D28" s="18"/>
      <c r="E28" s="19"/>
      <c r="F28" s="20" t="str">
        <f>IF(COUNTA($B28:$E28)&gt;0,CHOOSE(MOD(INT(($A28-1)/2),3)+1,"A","B","C"),"")</f>
        <v/>
      </c>
      <c r="G28" s="21" t="str">
        <f>IF(COUNTA($B28:$E28)&gt;0,IF(AND(ISNUMBER($B$4),N($B$4)&gt;=1,N($B$4)&lt;=1000),IF($B$4=0,"n/a",N($E28)/$B$4),"n/a"),"")</f>
        <v/>
      </c>
      <c r="H28" s="20" t="str">
        <f>IF(N($A28)&lt;&gt;19,"Check ID",IF(NOT(COUNTA($B28:$E28)&gt;0),"",IF(AND(AND(AND(ISNUMBER($B$7),N($B$7)&gt;=2,N($B$7)&lt;=42),MOD(N($B$7),2)=0),$A28&gt;$B$7),"Beyond spaces",IF(OR(AND($C28&lt;&gt;"",NOT(AND(ISNUMBER($C28),N($C28)&gt;=0,N($C28)&lt;=1200))),AND($C28&lt;&gt;"",NOT(OR($D28=1,$D28=2,$D28=3))),AND($C28="",$D28&lt;&gt;""),AND($E28&lt;&gt;"",NOT(AND(ISNUMBER($E28),N($E28)&gt;=0,N($E28)&lt;=100000)))),"Check inputs",IF(OR(AND($C28="",NOT(OR(AND($C26&lt;&gt;"",OR($D26=2,$D26=3)),AND($C24&lt;&gt;"",$D24=3)))),AND($C28&lt;&gt;"",OR(AND(OR($D28=2,$D28=3),$C30&lt;&gt;""),AND($D28=3,$C32&lt;&gt;""))),AND($C28&lt;&gt;"",AND(AND(ISNUMBER($B$7),N($B$7)&gt;=2,N($B$7)&lt;=42),MOD(N($B$7),2)=0),OR(AND($D28=2,$A28+2&gt;$B$7),AND($D28=3,$A28+4&gt;$B$7)))),"Check poles","OK")))))</f>
        <v/>
      </c>
    </row>
    <row r="29" ht="18" customHeight="1" spans="1:8" x14ac:dyDescent="0.25">
      <c r="A29" s="16">
        <v>20</v>
      </c>
      <c r="B29" s="17"/>
      <c r="C29" s="18"/>
      <c r="D29" s="18"/>
      <c r="E29" s="19"/>
      <c r="F29" s="20" t="str">
        <f>IF(COUNTA($B29:$E29)&gt;0,CHOOSE(MOD(INT(($A29-1)/2),3)+1,"A","B","C"),"")</f>
        <v/>
      </c>
      <c r="G29" s="21" t="str">
        <f>IF(COUNTA($B29:$E29)&gt;0,IF(AND(ISNUMBER($B$4),N($B$4)&gt;=1,N($B$4)&lt;=1000),IF($B$4=0,"n/a",N($E29)/$B$4),"n/a"),"")</f>
        <v/>
      </c>
      <c r="H29" s="20" t="str">
        <f>IF(N($A29)&lt;&gt;20,"Check ID",IF(NOT(COUNTA($B29:$E29)&gt;0),"",IF(AND(AND(AND(ISNUMBER($B$7),N($B$7)&gt;=2,N($B$7)&lt;=42),MOD(N($B$7),2)=0),$A29&gt;$B$7),"Beyond spaces",IF(OR(AND($C29&lt;&gt;"",NOT(AND(ISNUMBER($C29),N($C29)&gt;=0,N($C29)&lt;=1200))),AND($C29&lt;&gt;"",NOT(OR($D29=1,$D29=2,$D29=3))),AND($C29="",$D29&lt;&gt;""),AND($E29&lt;&gt;"",NOT(AND(ISNUMBER($E29),N($E29)&gt;=0,N($E29)&lt;=100000)))),"Check inputs",IF(OR(AND($C29="",NOT(OR(AND($C27&lt;&gt;"",OR($D27=2,$D27=3)),AND($C25&lt;&gt;"",$D25=3)))),AND($C29&lt;&gt;"",OR(AND(OR($D29=2,$D29=3),$C31&lt;&gt;""),AND($D29=3,$C33&lt;&gt;""))),AND($C29&lt;&gt;"",AND(AND(ISNUMBER($B$7),N($B$7)&gt;=2,N($B$7)&lt;=42),MOD(N($B$7),2)=0),OR(AND($D29=2,$A29+2&gt;$B$7),AND($D29=3,$A29+4&gt;$B$7)))),"Check poles","OK")))))</f>
        <v/>
      </c>
    </row>
    <row r="30" ht="18" customHeight="1" spans="1:8" x14ac:dyDescent="0.25">
      <c r="A30" s="16">
        <v>21</v>
      </c>
      <c r="B30" s="17"/>
      <c r="C30" s="18"/>
      <c r="D30" s="18"/>
      <c r="E30" s="19"/>
      <c r="F30" s="20" t="str">
        <f>IF(COUNTA($B30:$E30)&gt;0,CHOOSE(MOD(INT(($A30-1)/2),3)+1,"A","B","C"),"")</f>
        <v/>
      </c>
      <c r="G30" s="21" t="str">
        <f>IF(COUNTA($B30:$E30)&gt;0,IF(AND(ISNUMBER($B$4),N($B$4)&gt;=1,N($B$4)&lt;=1000),IF($B$4=0,"n/a",N($E30)/$B$4),"n/a"),"")</f>
        <v/>
      </c>
      <c r="H30" s="20" t="str">
        <f>IF(N($A30)&lt;&gt;21,"Check ID",IF(NOT(COUNTA($B30:$E30)&gt;0),"",IF(AND(AND(AND(ISNUMBER($B$7),N($B$7)&gt;=2,N($B$7)&lt;=42),MOD(N($B$7),2)=0),$A30&gt;$B$7),"Beyond spaces",IF(OR(AND($C30&lt;&gt;"",NOT(AND(ISNUMBER($C30),N($C30)&gt;=0,N($C30)&lt;=1200))),AND($C30&lt;&gt;"",NOT(OR($D30=1,$D30=2,$D30=3))),AND($C30="",$D30&lt;&gt;""),AND($E30&lt;&gt;"",NOT(AND(ISNUMBER($E30),N($E30)&gt;=0,N($E30)&lt;=100000)))),"Check inputs",IF(OR(AND($C30="",NOT(OR(AND($C28&lt;&gt;"",OR($D28=2,$D28=3)),AND($C26&lt;&gt;"",$D26=3)))),AND($C30&lt;&gt;"",OR(AND(OR($D30=2,$D30=3),$C32&lt;&gt;""),AND($D30=3,$C34&lt;&gt;""))),AND($C30&lt;&gt;"",AND(AND(ISNUMBER($B$7),N($B$7)&gt;=2,N($B$7)&lt;=42),MOD(N($B$7),2)=0),OR(AND($D30=2,$A30+2&gt;$B$7),AND($D30=3,$A30+4&gt;$B$7)))),"Check poles","OK")))))</f>
        <v/>
      </c>
    </row>
    <row r="31" ht="18" customHeight="1" spans="1:8" x14ac:dyDescent="0.25">
      <c r="A31" s="16">
        <v>22</v>
      </c>
      <c r="B31" s="17"/>
      <c r="C31" s="18"/>
      <c r="D31" s="18"/>
      <c r="E31" s="19"/>
      <c r="F31" s="20" t="str">
        <f>IF(COUNTA($B31:$E31)&gt;0,CHOOSE(MOD(INT(($A31-1)/2),3)+1,"A","B","C"),"")</f>
        <v/>
      </c>
      <c r="G31" s="21" t="str">
        <f>IF(COUNTA($B31:$E31)&gt;0,IF(AND(ISNUMBER($B$4),N($B$4)&gt;=1,N($B$4)&lt;=1000),IF($B$4=0,"n/a",N($E31)/$B$4),"n/a"),"")</f>
        <v/>
      </c>
      <c r="H31" s="20" t="str">
        <f>IF(N($A31)&lt;&gt;22,"Check ID",IF(NOT(COUNTA($B31:$E31)&gt;0),"",IF(AND(AND(AND(ISNUMBER($B$7),N($B$7)&gt;=2,N($B$7)&lt;=42),MOD(N($B$7),2)=0),$A31&gt;$B$7),"Beyond spaces",IF(OR(AND($C31&lt;&gt;"",NOT(AND(ISNUMBER($C31),N($C31)&gt;=0,N($C31)&lt;=1200))),AND($C31&lt;&gt;"",NOT(OR($D31=1,$D31=2,$D31=3))),AND($C31="",$D31&lt;&gt;""),AND($E31&lt;&gt;"",NOT(AND(ISNUMBER($E31),N($E31)&gt;=0,N($E31)&lt;=100000)))),"Check inputs",IF(OR(AND($C31="",NOT(OR(AND($C29&lt;&gt;"",OR($D29=2,$D29=3)),AND($C27&lt;&gt;"",$D27=3)))),AND($C31&lt;&gt;"",OR(AND(OR($D31=2,$D31=3),$C33&lt;&gt;""),AND($D31=3,$C35&lt;&gt;""))),AND($C31&lt;&gt;"",AND(AND(ISNUMBER($B$7),N($B$7)&gt;=2,N($B$7)&lt;=42),MOD(N($B$7),2)=0),OR(AND($D31=2,$A31+2&gt;$B$7),AND($D31=3,$A31+4&gt;$B$7)))),"Check poles","OK")))))</f>
        <v/>
      </c>
    </row>
    <row r="32" ht="18" customHeight="1" spans="1:8" x14ac:dyDescent="0.25">
      <c r="A32" s="16">
        <v>23</v>
      </c>
      <c r="B32" s="17"/>
      <c r="C32" s="18"/>
      <c r="D32" s="18"/>
      <c r="E32" s="19"/>
      <c r="F32" s="20" t="str">
        <f>IF(COUNTA($B32:$E32)&gt;0,CHOOSE(MOD(INT(($A32-1)/2),3)+1,"A","B","C"),"")</f>
        <v/>
      </c>
      <c r="G32" s="21" t="str">
        <f>IF(COUNTA($B32:$E32)&gt;0,IF(AND(ISNUMBER($B$4),N($B$4)&gt;=1,N($B$4)&lt;=1000),IF($B$4=0,"n/a",N($E32)/$B$4),"n/a"),"")</f>
        <v/>
      </c>
      <c r="H32" s="20" t="str">
        <f>IF(N($A32)&lt;&gt;23,"Check ID",IF(NOT(COUNTA($B32:$E32)&gt;0),"",IF(AND(AND(AND(ISNUMBER($B$7),N($B$7)&gt;=2,N($B$7)&lt;=42),MOD(N($B$7),2)=0),$A32&gt;$B$7),"Beyond spaces",IF(OR(AND($C32&lt;&gt;"",NOT(AND(ISNUMBER($C32),N($C32)&gt;=0,N($C32)&lt;=1200))),AND($C32&lt;&gt;"",NOT(OR($D32=1,$D32=2,$D32=3))),AND($C32="",$D32&lt;&gt;""),AND($E32&lt;&gt;"",NOT(AND(ISNUMBER($E32),N($E32)&gt;=0,N($E32)&lt;=100000)))),"Check inputs",IF(OR(AND($C32="",NOT(OR(AND($C30&lt;&gt;"",OR($D30=2,$D30=3)),AND($C28&lt;&gt;"",$D28=3)))),AND($C32&lt;&gt;"",OR(AND(OR($D32=2,$D32=3),$C34&lt;&gt;""),AND($D32=3,$C36&lt;&gt;""))),AND($C32&lt;&gt;"",AND(AND(ISNUMBER($B$7),N($B$7)&gt;=2,N($B$7)&lt;=42),MOD(N($B$7),2)=0),OR(AND($D32=2,$A32+2&gt;$B$7),AND($D32=3,$A32+4&gt;$B$7)))),"Check poles","OK")))))</f>
        <v/>
      </c>
    </row>
    <row r="33" ht="18" customHeight="1" spans="1:8" x14ac:dyDescent="0.25">
      <c r="A33" s="16">
        <v>24</v>
      </c>
      <c r="B33" s="17"/>
      <c r="C33" s="18"/>
      <c r="D33" s="18"/>
      <c r="E33" s="19"/>
      <c r="F33" s="20" t="str">
        <f>IF(COUNTA($B33:$E33)&gt;0,CHOOSE(MOD(INT(($A33-1)/2),3)+1,"A","B","C"),"")</f>
        <v/>
      </c>
      <c r="G33" s="21" t="str">
        <f>IF(COUNTA($B33:$E33)&gt;0,IF(AND(ISNUMBER($B$4),N($B$4)&gt;=1,N($B$4)&lt;=1000),IF($B$4=0,"n/a",N($E33)/$B$4),"n/a"),"")</f>
        <v/>
      </c>
      <c r="H33" s="20" t="str">
        <f>IF(N($A33)&lt;&gt;24,"Check ID",IF(NOT(COUNTA($B33:$E33)&gt;0),"",IF(AND(AND(AND(ISNUMBER($B$7),N($B$7)&gt;=2,N($B$7)&lt;=42),MOD(N($B$7),2)=0),$A33&gt;$B$7),"Beyond spaces",IF(OR(AND($C33&lt;&gt;"",NOT(AND(ISNUMBER($C33),N($C33)&gt;=0,N($C33)&lt;=1200))),AND($C33&lt;&gt;"",NOT(OR($D33=1,$D33=2,$D33=3))),AND($C33="",$D33&lt;&gt;""),AND($E33&lt;&gt;"",NOT(AND(ISNUMBER($E33),N($E33)&gt;=0,N($E33)&lt;=100000)))),"Check inputs",IF(OR(AND($C33="",NOT(OR(AND($C31&lt;&gt;"",OR($D31=2,$D31=3)),AND($C29&lt;&gt;"",$D29=3)))),AND($C33&lt;&gt;"",OR(AND(OR($D33=2,$D33=3),$C35&lt;&gt;""),AND($D33=3,$C37&lt;&gt;""))),AND($C33&lt;&gt;"",AND(AND(ISNUMBER($B$7),N($B$7)&gt;=2,N($B$7)&lt;=42),MOD(N($B$7),2)=0),OR(AND($D33=2,$A33+2&gt;$B$7),AND($D33=3,$A33+4&gt;$B$7)))),"Check poles","OK")))))</f>
        <v/>
      </c>
    </row>
    <row r="34" ht="18" customHeight="1" spans="1:8" x14ac:dyDescent="0.25">
      <c r="A34" s="16">
        <v>25</v>
      </c>
      <c r="B34" s="17"/>
      <c r="C34" s="18"/>
      <c r="D34" s="18"/>
      <c r="E34" s="19"/>
      <c r="F34" s="20" t="str">
        <f>IF(COUNTA($B34:$E34)&gt;0,CHOOSE(MOD(INT(($A34-1)/2),3)+1,"A","B","C"),"")</f>
        <v/>
      </c>
      <c r="G34" s="21" t="str">
        <f>IF(COUNTA($B34:$E34)&gt;0,IF(AND(ISNUMBER($B$4),N($B$4)&gt;=1,N($B$4)&lt;=1000),IF($B$4=0,"n/a",N($E34)/$B$4),"n/a"),"")</f>
        <v/>
      </c>
      <c r="H34" s="20" t="str">
        <f>IF(N($A34)&lt;&gt;25,"Check ID",IF(NOT(COUNTA($B34:$E34)&gt;0),"",IF(AND(AND(AND(ISNUMBER($B$7),N($B$7)&gt;=2,N($B$7)&lt;=42),MOD(N($B$7),2)=0),$A34&gt;$B$7),"Beyond spaces",IF(OR(AND($C34&lt;&gt;"",NOT(AND(ISNUMBER($C34),N($C34)&gt;=0,N($C34)&lt;=1200))),AND($C34&lt;&gt;"",NOT(OR($D34=1,$D34=2,$D34=3))),AND($C34="",$D34&lt;&gt;""),AND($E34&lt;&gt;"",NOT(AND(ISNUMBER($E34),N($E34)&gt;=0,N($E34)&lt;=100000)))),"Check inputs",IF(OR(AND($C34="",NOT(OR(AND($C32&lt;&gt;"",OR($D32=2,$D32=3)),AND($C30&lt;&gt;"",$D30=3)))),AND($C34&lt;&gt;"",OR(AND(OR($D34=2,$D34=3),$C36&lt;&gt;""),AND($D34=3,$C38&lt;&gt;""))),AND($C34&lt;&gt;"",AND(AND(ISNUMBER($B$7),N($B$7)&gt;=2,N($B$7)&lt;=42),MOD(N($B$7),2)=0),OR(AND($D34=2,$A34+2&gt;$B$7),AND($D34=3,$A34+4&gt;$B$7)))),"Check poles","OK")))))</f>
        <v/>
      </c>
    </row>
    <row r="35" ht="18" customHeight="1" spans="1:8" x14ac:dyDescent="0.25">
      <c r="A35" s="16">
        <v>26</v>
      </c>
      <c r="B35" s="17"/>
      <c r="C35" s="18"/>
      <c r="D35" s="18"/>
      <c r="E35" s="19"/>
      <c r="F35" s="20" t="str">
        <f>IF(COUNTA($B35:$E35)&gt;0,CHOOSE(MOD(INT(($A35-1)/2),3)+1,"A","B","C"),"")</f>
        <v/>
      </c>
      <c r="G35" s="21" t="str">
        <f>IF(COUNTA($B35:$E35)&gt;0,IF(AND(ISNUMBER($B$4),N($B$4)&gt;=1,N($B$4)&lt;=1000),IF($B$4=0,"n/a",N($E35)/$B$4),"n/a"),"")</f>
        <v/>
      </c>
      <c r="H35" s="20" t="str">
        <f>IF(N($A35)&lt;&gt;26,"Check ID",IF(NOT(COUNTA($B35:$E35)&gt;0),"",IF(AND(AND(AND(ISNUMBER($B$7),N($B$7)&gt;=2,N($B$7)&lt;=42),MOD(N($B$7),2)=0),$A35&gt;$B$7),"Beyond spaces",IF(OR(AND($C35&lt;&gt;"",NOT(AND(ISNUMBER($C35),N($C35)&gt;=0,N($C35)&lt;=1200))),AND($C35&lt;&gt;"",NOT(OR($D35=1,$D35=2,$D35=3))),AND($C35="",$D35&lt;&gt;""),AND($E35&lt;&gt;"",NOT(AND(ISNUMBER($E35),N($E35)&gt;=0,N($E35)&lt;=100000)))),"Check inputs",IF(OR(AND($C35="",NOT(OR(AND($C33&lt;&gt;"",OR($D33=2,$D33=3)),AND($C31&lt;&gt;"",$D31=3)))),AND($C35&lt;&gt;"",OR(AND(OR($D35=2,$D35=3),$C37&lt;&gt;""),AND($D35=3,$C39&lt;&gt;""))),AND($C35&lt;&gt;"",AND(AND(ISNUMBER($B$7),N($B$7)&gt;=2,N($B$7)&lt;=42),MOD(N($B$7),2)=0),OR(AND($D35=2,$A35+2&gt;$B$7),AND($D35=3,$A35+4&gt;$B$7)))),"Check poles","OK")))))</f>
        <v/>
      </c>
    </row>
    <row r="36" ht="18" customHeight="1" spans="1:8" x14ac:dyDescent="0.25">
      <c r="A36" s="16">
        <v>27</v>
      </c>
      <c r="B36" s="17"/>
      <c r="C36" s="18"/>
      <c r="D36" s="18"/>
      <c r="E36" s="19"/>
      <c r="F36" s="20" t="str">
        <f>IF(COUNTA($B36:$E36)&gt;0,CHOOSE(MOD(INT(($A36-1)/2),3)+1,"A","B","C"),"")</f>
        <v/>
      </c>
      <c r="G36" s="21" t="str">
        <f>IF(COUNTA($B36:$E36)&gt;0,IF(AND(ISNUMBER($B$4),N($B$4)&gt;=1,N($B$4)&lt;=1000),IF($B$4=0,"n/a",N($E36)/$B$4),"n/a"),"")</f>
        <v/>
      </c>
      <c r="H36" s="20" t="str">
        <f>IF(N($A36)&lt;&gt;27,"Check ID",IF(NOT(COUNTA($B36:$E36)&gt;0),"",IF(AND(AND(AND(ISNUMBER($B$7),N($B$7)&gt;=2,N($B$7)&lt;=42),MOD(N($B$7),2)=0),$A36&gt;$B$7),"Beyond spaces",IF(OR(AND($C36&lt;&gt;"",NOT(AND(ISNUMBER($C36),N($C36)&gt;=0,N($C36)&lt;=1200))),AND($C36&lt;&gt;"",NOT(OR($D36=1,$D36=2,$D36=3))),AND($C36="",$D36&lt;&gt;""),AND($E36&lt;&gt;"",NOT(AND(ISNUMBER($E36),N($E36)&gt;=0,N($E36)&lt;=100000)))),"Check inputs",IF(OR(AND($C36="",NOT(OR(AND($C34&lt;&gt;"",OR($D34=2,$D34=3)),AND($C32&lt;&gt;"",$D32=3)))),AND($C36&lt;&gt;"",OR(AND(OR($D36=2,$D36=3),$C38&lt;&gt;""),AND($D36=3,$C40&lt;&gt;""))),AND($C36&lt;&gt;"",AND(AND(ISNUMBER($B$7),N($B$7)&gt;=2,N($B$7)&lt;=42),MOD(N($B$7),2)=0),OR(AND($D36=2,$A36+2&gt;$B$7),AND($D36=3,$A36+4&gt;$B$7)))),"Check poles","OK")))))</f>
        <v/>
      </c>
    </row>
    <row r="37" ht="18" customHeight="1" spans="1:8" x14ac:dyDescent="0.25">
      <c r="A37" s="16">
        <v>28</v>
      </c>
      <c r="B37" s="17"/>
      <c r="C37" s="18"/>
      <c r="D37" s="18"/>
      <c r="E37" s="19"/>
      <c r="F37" s="20" t="str">
        <f>IF(COUNTA($B37:$E37)&gt;0,CHOOSE(MOD(INT(($A37-1)/2),3)+1,"A","B","C"),"")</f>
        <v/>
      </c>
      <c r="G37" s="21" t="str">
        <f>IF(COUNTA($B37:$E37)&gt;0,IF(AND(ISNUMBER($B$4),N($B$4)&gt;=1,N($B$4)&lt;=1000),IF($B$4=0,"n/a",N($E37)/$B$4),"n/a"),"")</f>
        <v/>
      </c>
      <c r="H37" s="20" t="str">
        <f>IF(N($A37)&lt;&gt;28,"Check ID",IF(NOT(COUNTA($B37:$E37)&gt;0),"",IF(AND(AND(AND(ISNUMBER($B$7),N($B$7)&gt;=2,N($B$7)&lt;=42),MOD(N($B$7),2)=0),$A37&gt;$B$7),"Beyond spaces",IF(OR(AND($C37&lt;&gt;"",NOT(AND(ISNUMBER($C37),N($C37)&gt;=0,N($C37)&lt;=1200))),AND($C37&lt;&gt;"",NOT(OR($D37=1,$D37=2,$D37=3))),AND($C37="",$D37&lt;&gt;""),AND($E37&lt;&gt;"",NOT(AND(ISNUMBER($E37),N($E37)&gt;=0,N($E37)&lt;=100000)))),"Check inputs",IF(OR(AND($C37="",NOT(OR(AND($C35&lt;&gt;"",OR($D35=2,$D35=3)),AND($C33&lt;&gt;"",$D33=3)))),AND($C37&lt;&gt;"",OR(AND(OR($D37=2,$D37=3),$C39&lt;&gt;""),AND($D37=3,$C41&lt;&gt;""))),AND($C37&lt;&gt;"",AND(AND(ISNUMBER($B$7),N($B$7)&gt;=2,N($B$7)&lt;=42),MOD(N($B$7),2)=0),OR(AND($D37=2,$A37+2&gt;$B$7),AND($D37=3,$A37+4&gt;$B$7)))),"Check poles","OK")))))</f>
        <v/>
      </c>
    </row>
    <row r="38" ht="18" customHeight="1" spans="1:8" x14ac:dyDescent="0.25">
      <c r="A38" s="16">
        <v>29</v>
      </c>
      <c r="B38" s="17"/>
      <c r="C38" s="18"/>
      <c r="D38" s="18"/>
      <c r="E38" s="19"/>
      <c r="F38" s="20" t="str">
        <f>IF(COUNTA($B38:$E38)&gt;0,CHOOSE(MOD(INT(($A38-1)/2),3)+1,"A","B","C"),"")</f>
        <v/>
      </c>
      <c r="G38" s="21" t="str">
        <f>IF(COUNTA($B38:$E38)&gt;0,IF(AND(ISNUMBER($B$4),N($B$4)&gt;=1,N($B$4)&lt;=1000),IF($B$4=0,"n/a",N($E38)/$B$4),"n/a"),"")</f>
        <v/>
      </c>
      <c r="H38" s="20" t="str">
        <f>IF(N($A38)&lt;&gt;29,"Check ID",IF(NOT(COUNTA($B38:$E38)&gt;0),"",IF(AND(AND(AND(ISNUMBER($B$7),N($B$7)&gt;=2,N($B$7)&lt;=42),MOD(N($B$7),2)=0),$A38&gt;$B$7),"Beyond spaces",IF(OR(AND($C38&lt;&gt;"",NOT(AND(ISNUMBER($C38),N($C38)&gt;=0,N($C38)&lt;=1200))),AND($C38&lt;&gt;"",NOT(OR($D38=1,$D38=2,$D38=3))),AND($C38="",$D38&lt;&gt;""),AND($E38&lt;&gt;"",NOT(AND(ISNUMBER($E38),N($E38)&gt;=0,N($E38)&lt;=100000)))),"Check inputs",IF(OR(AND($C38="",NOT(OR(AND($C36&lt;&gt;"",OR($D36=2,$D36=3)),AND($C34&lt;&gt;"",$D34=3)))),AND($C38&lt;&gt;"",OR(AND(OR($D38=2,$D38=3),$C40&lt;&gt;""),AND($D38=3,$C42&lt;&gt;""))),AND($C38&lt;&gt;"",AND(AND(ISNUMBER($B$7),N($B$7)&gt;=2,N($B$7)&lt;=42),MOD(N($B$7),2)=0),OR(AND($D38=2,$A38+2&gt;$B$7),AND($D38=3,$A38+4&gt;$B$7)))),"Check poles","OK")))))</f>
        <v/>
      </c>
    </row>
    <row r="39" ht="18" customHeight="1" spans="1:8" x14ac:dyDescent="0.25">
      <c r="A39" s="16">
        <v>30</v>
      </c>
      <c r="B39" s="17"/>
      <c r="C39" s="18"/>
      <c r="D39" s="18"/>
      <c r="E39" s="19"/>
      <c r="F39" s="20" t="str">
        <f>IF(COUNTA($B39:$E39)&gt;0,CHOOSE(MOD(INT(($A39-1)/2),3)+1,"A","B","C"),"")</f>
        <v/>
      </c>
      <c r="G39" s="21" t="str">
        <f>IF(COUNTA($B39:$E39)&gt;0,IF(AND(ISNUMBER($B$4),N($B$4)&gt;=1,N($B$4)&lt;=1000),IF($B$4=0,"n/a",N($E39)/$B$4),"n/a"),"")</f>
        <v/>
      </c>
      <c r="H39" s="20" t="str">
        <f>IF(N($A39)&lt;&gt;30,"Check ID",IF(NOT(COUNTA($B39:$E39)&gt;0),"",IF(AND(AND(AND(ISNUMBER($B$7),N($B$7)&gt;=2,N($B$7)&lt;=42),MOD(N($B$7),2)=0),$A39&gt;$B$7),"Beyond spaces",IF(OR(AND($C39&lt;&gt;"",NOT(AND(ISNUMBER($C39),N($C39)&gt;=0,N($C39)&lt;=1200))),AND($C39&lt;&gt;"",NOT(OR($D39=1,$D39=2,$D39=3))),AND($C39="",$D39&lt;&gt;""),AND($E39&lt;&gt;"",NOT(AND(ISNUMBER($E39),N($E39)&gt;=0,N($E39)&lt;=100000)))),"Check inputs",IF(OR(AND($C39="",NOT(OR(AND($C37&lt;&gt;"",OR($D37=2,$D37=3)),AND($C35&lt;&gt;"",$D35=3)))),AND($C39&lt;&gt;"",OR(AND(OR($D39=2,$D39=3),$C41&lt;&gt;""),AND($D39=3,$C43&lt;&gt;""))),AND($C39&lt;&gt;"",AND(AND(ISNUMBER($B$7),N($B$7)&gt;=2,N($B$7)&lt;=42),MOD(N($B$7),2)=0),OR(AND($D39=2,$A39+2&gt;$B$7),AND($D39=3,$A39+4&gt;$B$7)))),"Check poles","OK")))))</f>
        <v/>
      </c>
    </row>
    <row r="40" ht="18" customHeight="1" spans="1:8" x14ac:dyDescent="0.25">
      <c r="A40" s="16">
        <v>31</v>
      </c>
      <c r="B40" s="17"/>
      <c r="C40" s="18"/>
      <c r="D40" s="18"/>
      <c r="E40" s="19"/>
      <c r="F40" s="20" t="str">
        <f>IF(COUNTA($B40:$E40)&gt;0,CHOOSE(MOD(INT(($A40-1)/2),3)+1,"A","B","C"),"")</f>
        <v/>
      </c>
      <c r="G40" s="21" t="str">
        <f>IF(COUNTA($B40:$E40)&gt;0,IF(AND(ISNUMBER($B$4),N($B$4)&gt;=1,N($B$4)&lt;=1000),IF($B$4=0,"n/a",N($E40)/$B$4),"n/a"),"")</f>
        <v/>
      </c>
      <c r="H40" s="20" t="str">
        <f>IF(N($A40)&lt;&gt;31,"Check ID",IF(NOT(COUNTA($B40:$E40)&gt;0),"",IF(AND(AND(AND(ISNUMBER($B$7),N($B$7)&gt;=2,N($B$7)&lt;=42),MOD(N($B$7),2)=0),$A40&gt;$B$7),"Beyond spaces",IF(OR(AND($C40&lt;&gt;"",NOT(AND(ISNUMBER($C40),N($C40)&gt;=0,N($C40)&lt;=1200))),AND($C40&lt;&gt;"",NOT(OR($D40=1,$D40=2,$D40=3))),AND($C40="",$D40&lt;&gt;""),AND($E40&lt;&gt;"",NOT(AND(ISNUMBER($E40),N($E40)&gt;=0,N($E40)&lt;=100000)))),"Check inputs",IF(OR(AND($C40="",NOT(OR(AND($C38&lt;&gt;"",OR($D38=2,$D38=3)),AND($C36&lt;&gt;"",$D36=3)))),AND($C40&lt;&gt;"",OR(AND(OR($D40=2,$D40=3),$C42&lt;&gt;""),AND($D40=3,$C44&lt;&gt;""))),AND($C40&lt;&gt;"",AND(AND(ISNUMBER($B$7),N($B$7)&gt;=2,N($B$7)&lt;=42),MOD(N($B$7),2)=0),OR(AND($D40=2,$A40+2&gt;$B$7),AND($D40=3,$A40+4&gt;$B$7)))),"Check poles","OK")))))</f>
        <v/>
      </c>
    </row>
    <row r="41" ht="18" customHeight="1" spans="1:8" x14ac:dyDescent="0.25">
      <c r="A41" s="16">
        <v>32</v>
      </c>
      <c r="B41" s="17"/>
      <c r="C41" s="18"/>
      <c r="D41" s="18"/>
      <c r="E41" s="19"/>
      <c r="F41" s="20" t="str">
        <f>IF(COUNTA($B41:$E41)&gt;0,CHOOSE(MOD(INT(($A41-1)/2),3)+1,"A","B","C"),"")</f>
        <v/>
      </c>
      <c r="G41" s="21" t="str">
        <f>IF(COUNTA($B41:$E41)&gt;0,IF(AND(ISNUMBER($B$4),N($B$4)&gt;=1,N($B$4)&lt;=1000),IF($B$4=0,"n/a",N($E41)/$B$4),"n/a"),"")</f>
        <v/>
      </c>
      <c r="H41" s="20" t="str">
        <f>IF(N($A41)&lt;&gt;32,"Check ID",IF(NOT(COUNTA($B41:$E41)&gt;0),"",IF(AND(AND(AND(ISNUMBER($B$7),N($B$7)&gt;=2,N($B$7)&lt;=42),MOD(N($B$7),2)=0),$A41&gt;$B$7),"Beyond spaces",IF(OR(AND($C41&lt;&gt;"",NOT(AND(ISNUMBER($C41),N($C41)&gt;=0,N($C41)&lt;=1200))),AND($C41&lt;&gt;"",NOT(OR($D41=1,$D41=2,$D41=3))),AND($C41="",$D41&lt;&gt;""),AND($E41&lt;&gt;"",NOT(AND(ISNUMBER($E41),N($E41)&gt;=0,N($E41)&lt;=100000)))),"Check inputs",IF(OR(AND($C41="",NOT(OR(AND($C39&lt;&gt;"",OR($D39=2,$D39=3)),AND($C37&lt;&gt;"",$D37=3)))),AND($C41&lt;&gt;"",OR(AND(OR($D41=2,$D41=3),$C43&lt;&gt;""),AND($D41=3,$C45&lt;&gt;""))),AND($C41&lt;&gt;"",AND(AND(ISNUMBER($B$7),N($B$7)&gt;=2,N($B$7)&lt;=42),MOD(N($B$7),2)=0),OR(AND($D41=2,$A41+2&gt;$B$7),AND($D41=3,$A41+4&gt;$B$7)))),"Check poles","OK")))))</f>
        <v/>
      </c>
    </row>
    <row r="42" ht="18" customHeight="1" spans="1:8" x14ac:dyDescent="0.25">
      <c r="A42" s="16">
        <v>33</v>
      </c>
      <c r="B42" s="17"/>
      <c r="C42" s="18"/>
      <c r="D42" s="18"/>
      <c r="E42" s="19"/>
      <c r="F42" s="20" t="str">
        <f>IF(COUNTA($B42:$E42)&gt;0,CHOOSE(MOD(INT(($A42-1)/2),3)+1,"A","B","C"),"")</f>
        <v/>
      </c>
      <c r="G42" s="21" t="str">
        <f>IF(COUNTA($B42:$E42)&gt;0,IF(AND(ISNUMBER($B$4),N($B$4)&gt;=1,N($B$4)&lt;=1000),IF($B$4=0,"n/a",N($E42)/$B$4),"n/a"),"")</f>
        <v/>
      </c>
      <c r="H42" s="20" t="str">
        <f>IF(N($A42)&lt;&gt;33,"Check ID",IF(NOT(COUNTA($B42:$E42)&gt;0),"",IF(AND(AND(AND(ISNUMBER($B$7),N($B$7)&gt;=2,N($B$7)&lt;=42),MOD(N($B$7),2)=0),$A42&gt;$B$7),"Beyond spaces",IF(OR(AND($C42&lt;&gt;"",NOT(AND(ISNUMBER($C42),N($C42)&gt;=0,N($C42)&lt;=1200))),AND($C42&lt;&gt;"",NOT(OR($D42=1,$D42=2,$D42=3))),AND($C42="",$D42&lt;&gt;""),AND($E42&lt;&gt;"",NOT(AND(ISNUMBER($E42),N($E42)&gt;=0,N($E42)&lt;=100000)))),"Check inputs",IF(OR(AND($C42="",NOT(OR(AND($C40&lt;&gt;"",OR($D40=2,$D40=3)),AND($C38&lt;&gt;"",$D38=3)))),AND($C42&lt;&gt;"",OR(AND(OR($D42=2,$D42=3),$C44&lt;&gt;""),AND($D42=3,$C46&lt;&gt;""))),AND($C42&lt;&gt;"",AND(AND(ISNUMBER($B$7),N($B$7)&gt;=2,N($B$7)&lt;=42),MOD(N($B$7),2)=0),OR(AND($D42=2,$A42+2&gt;$B$7),AND($D42=3,$A42+4&gt;$B$7)))),"Check poles","OK")))))</f>
        <v/>
      </c>
    </row>
    <row r="43" ht="18" customHeight="1" spans="1:8" x14ac:dyDescent="0.25">
      <c r="A43" s="16">
        <v>34</v>
      </c>
      <c r="B43" s="17"/>
      <c r="C43" s="18"/>
      <c r="D43" s="18"/>
      <c r="E43" s="19"/>
      <c r="F43" s="20" t="str">
        <f>IF(COUNTA($B43:$E43)&gt;0,CHOOSE(MOD(INT(($A43-1)/2),3)+1,"A","B","C"),"")</f>
        <v/>
      </c>
      <c r="G43" s="21" t="str">
        <f>IF(COUNTA($B43:$E43)&gt;0,IF(AND(ISNUMBER($B$4),N($B$4)&gt;=1,N($B$4)&lt;=1000),IF($B$4=0,"n/a",N($E43)/$B$4),"n/a"),"")</f>
        <v/>
      </c>
      <c r="H43" s="20" t="str">
        <f>IF(N($A43)&lt;&gt;34,"Check ID",IF(NOT(COUNTA($B43:$E43)&gt;0),"",IF(AND(AND(AND(ISNUMBER($B$7),N($B$7)&gt;=2,N($B$7)&lt;=42),MOD(N($B$7),2)=0),$A43&gt;$B$7),"Beyond spaces",IF(OR(AND($C43&lt;&gt;"",NOT(AND(ISNUMBER($C43),N($C43)&gt;=0,N($C43)&lt;=1200))),AND($C43&lt;&gt;"",NOT(OR($D43=1,$D43=2,$D43=3))),AND($C43="",$D43&lt;&gt;""),AND($E43&lt;&gt;"",NOT(AND(ISNUMBER($E43),N($E43)&gt;=0,N($E43)&lt;=100000)))),"Check inputs",IF(OR(AND($C43="",NOT(OR(AND($C41&lt;&gt;"",OR($D41=2,$D41=3)),AND($C39&lt;&gt;"",$D39=3)))),AND($C43&lt;&gt;"",OR(AND(OR($D43=2,$D43=3),$C45&lt;&gt;""),AND($D43=3,$C47&lt;&gt;""))),AND($C43&lt;&gt;"",AND(AND(ISNUMBER($B$7),N($B$7)&gt;=2,N($B$7)&lt;=42),MOD(N($B$7),2)=0),OR(AND($D43=2,$A43+2&gt;$B$7),AND($D43=3,$A43+4&gt;$B$7)))),"Check poles","OK")))))</f>
        <v/>
      </c>
    </row>
    <row r="44" ht="18" customHeight="1" spans="1:8" x14ac:dyDescent="0.25">
      <c r="A44" s="16">
        <v>35</v>
      </c>
      <c r="B44" s="17"/>
      <c r="C44" s="18"/>
      <c r="D44" s="18"/>
      <c r="E44" s="19"/>
      <c r="F44" s="20" t="str">
        <f>IF(COUNTA($B44:$E44)&gt;0,CHOOSE(MOD(INT(($A44-1)/2),3)+1,"A","B","C"),"")</f>
        <v/>
      </c>
      <c r="G44" s="21" t="str">
        <f>IF(COUNTA($B44:$E44)&gt;0,IF(AND(ISNUMBER($B$4),N($B$4)&gt;=1,N($B$4)&lt;=1000),IF($B$4=0,"n/a",N($E44)/$B$4),"n/a"),"")</f>
        <v/>
      </c>
      <c r="H44" s="20" t="str">
        <f>IF(N($A44)&lt;&gt;35,"Check ID",IF(NOT(COUNTA($B44:$E44)&gt;0),"",IF(AND(AND(AND(ISNUMBER($B$7),N($B$7)&gt;=2,N($B$7)&lt;=42),MOD(N($B$7),2)=0),$A44&gt;$B$7),"Beyond spaces",IF(OR(AND($C44&lt;&gt;"",NOT(AND(ISNUMBER($C44),N($C44)&gt;=0,N($C44)&lt;=1200))),AND($C44&lt;&gt;"",NOT(OR($D44=1,$D44=2,$D44=3))),AND($C44="",$D44&lt;&gt;""),AND($E44&lt;&gt;"",NOT(AND(ISNUMBER($E44),N($E44)&gt;=0,N($E44)&lt;=100000)))),"Check inputs",IF(OR(AND($C44="",NOT(OR(AND($C42&lt;&gt;"",OR($D42=2,$D42=3)),AND($C40&lt;&gt;"",$D40=3)))),AND($C44&lt;&gt;"",OR(AND(OR($D44=2,$D44=3),$C46&lt;&gt;""),AND($D44=3,$C48&lt;&gt;""))),AND($C44&lt;&gt;"",AND(AND(ISNUMBER($B$7),N($B$7)&gt;=2,N($B$7)&lt;=42),MOD(N($B$7),2)=0),OR(AND($D44=2,$A44+2&gt;$B$7),AND($D44=3,$A44+4&gt;$B$7)))),"Check poles","OK")))))</f>
        <v/>
      </c>
    </row>
    <row r="45" ht="18" customHeight="1" spans="1:8" x14ac:dyDescent="0.25">
      <c r="A45" s="16">
        <v>36</v>
      </c>
      <c r="B45" s="17"/>
      <c r="C45" s="18"/>
      <c r="D45" s="18"/>
      <c r="E45" s="19"/>
      <c r="F45" s="20" t="str">
        <f>IF(COUNTA($B45:$E45)&gt;0,CHOOSE(MOD(INT(($A45-1)/2),3)+1,"A","B","C"),"")</f>
        <v/>
      </c>
      <c r="G45" s="21" t="str">
        <f>IF(COUNTA($B45:$E45)&gt;0,IF(AND(ISNUMBER($B$4),N($B$4)&gt;=1,N($B$4)&lt;=1000),IF($B$4=0,"n/a",N($E45)/$B$4),"n/a"),"")</f>
        <v/>
      </c>
      <c r="H45" s="20" t="str">
        <f>IF(N($A45)&lt;&gt;36,"Check ID",IF(NOT(COUNTA($B45:$E45)&gt;0),"",IF(AND(AND(AND(ISNUMBER($B$7),N($B$7)&gt;=2,N($B$7)&lt;=42),MOD(N($B$7),2)=0),$A45&gt;$B$7),"Beyond spaces",IF(OR(AND($C45&lt;&gt;"",NOT(AND(ISNUMBER($C45),N($C45)&gt;=0,N($C45)&lt;=1200))),AND($C45&lt;&gt;"",NOT(OR($D45=1,$D45=2,$D45=3))),AND($C45="",$D45&lt;&gt;""),AND($E45&lt;&gt;"",NOT(AND(ISNUMBER($E45),N($E45)&gt;=0,N($E45)&lt;=100000)))),"Check inputs",IF(OR(AND($C45="",NOT(OR(AND($C43&lt;&gt;"",OR($D43=2,$D43=3)),AND($C41&lt;&gt;"",$D41=3)))),AND($C45&lt;&gt;"",OR(AND(OR($D45=2,$D45=3),$C47&lt;&gt;""),AND($D45=3,$C49&lt;&gt;""))),AND($C45&lt;&gt;"",AND(AND(ISNUMBER($B$7),N($B$7)&gt;=2,N($B$7)&lt;=42),MOD(N($B$7),2)=0),OR(AND($D45=2,$A45+2&gt;$B$7),AND($D45=3,$A45+4&gt;$B$7)))),"Check poles","OK")))))</f>
        <v/>
      </c>
    </row>
    <row r="46" ht="18" customHeight="1" spans="1:8" x14ac:dyDescent="0.25">
      <c r="A46" s="16">
        <v>37</v>
      </c>
      <c r="B46" s="17"/>
      <c r="C46" s="18"/>
      <c r="D46" s="18"/>
      <c r="E46" s="19"/>
      <c r="F46" s="20" t="str">
        <f>IF(COUNTA($B46:$E46)&gt;0,CHOOSE(MOD(INT(($A46-1)/2),3)+1,"A","B","C"),"")</f>
        <v/>
      </c>
      <c r="G46" s="21" t="str">
        <f>IF(COUNTA($B46:$E46)&gt;0,IF(AND(ISNUMBER($B$4),N($B$4)&gt;=1,N($B$4)&lt;=1000),IF($B$4=0,"n/a",N($E46)/$B$4),"n/a"),"")</f>
        <v/>
      </c>
      <c r="H46" s="20" t="str">
        <f>IF(N($A46)&lt;&gt;37,"Check ID",IF(NOT(COUNTA($B46:$E46)&gt;0),"",IF(AND(AND(AND(ISNUMBER($B$7),N($B$7)&gt;=2,N($B$7)&lt;=42),MOD(N($B$7),2)=0),$A46&gt;$B$7),"Beyond spaces",IF(OR(AND($C46&lt;&gt;"",NOT(AND(ISNUMBER($C46),N($C46)&gt;=0,N($C46)&lt;=1200))),AND($C46&lt;&gt;"",NOT(OR($D46=1,$D46=2,$D46=3))),AND($C46="",$D46&lt;&gt;""),AND($E46&lt;&gt;"",NOT(AND(ISNUMBER($E46),N($E46)&gt;=0,N($E46)&lt;=100000)))),"Check inputs",IF(OR(AND($C46="",NOT(OR(AND($C44&lt;&gt;"",OR($D44=2,$D44=3)),AND($C42&lt;&gt;"",$D42=3)))),AND($C46&lt;&gt;"",OR(AND(OR($D46=2,$D46=3),$C48&lt;&gt;""),AND($D46=3,$C50&lt;&gt;""))),AND($C46&lt;&gt;"",AND(AND(ISNUMBER($B$7),N($B$7)&gt;=2,N($B$7)&lt;=42),MOD(N($B$7),2)=0),OR(AND($D46=2,$A46+2&gt;$B$7),AND($D46=3,$A46+4&gt;$B$7)))),"Check poles","OK")))))</f>
        <v/>
      </c>
    </row>
    <row r="47" ht="18" customHeight="1" spans="1:8" x14ac:dyDescent="0.25">
      <c r="A47" s="16">
        <v>38</v>
      </c>
      <c r="B47" s="17"/>
      <c r="C47" s="18"/>
      <c r="D47" s="18"/>
      <c r="E47" s="19"/>
      <c r="F47" s="20" t="str">
        <f>IF(COUNTA($B47:$E47)&gt;0,CHOOSE(MOD(INT(($A47-1)/2),3)+1,"A","B","C"),"")</f>
        <v/>
      </c>
      <c r="G47" s="21" t="str">
        <f>IF(COUNTA($B47:$E47)&gt;0,IF(AND(ISNUMBER($B$4),N($B$4)&gt;=1,N($B$4)&lt;=1000),IF($B$4=0,"n/a",N($E47)/$B$4),"n/a"),"")</f>
        <v/>
      </c>
      <c r="H47" s="20" t="str">
        <f>IF(N($A47)&lt;&gt;38,"Check ID",IF(NOT(COUNTA($B47:$E47)&gt;0),"",IF(AND(AND(AND(ISNUMBER($B$7),N($B$7)&gt;=2,N($B$7)&lt;=42),MOD(N($B$7),2)=0),$A47&gt;$B$7),"Beyond spaces",IF(OR(AND($C47&lt;&gt;"",NOT(AND(ISNUMBER($C47),N($C47)&gt;=0,N($C47)&lt;=1200))),AND($C47&lt;&gt;"",NOT(OR($D47=1,$D47=2,$D47=3))),AND($C47="",$D47&lt;&gt;""),AND($E47&lt;&gt;"",NOT(AND(ISNUMBER($E47),N($E47)&gt;=0,N($E47)&lt;=100000)))),"Check inputs",IF(OR(AND($C47="",NOT(OR(AND($C45&lt;&gt;"",OR($D45=2,$D45=3)),AND($C43&lt;&gt;"",$D43=3)))),AND($C47&lt;&gt;"",OR(AND(OR($D47=2,$D47=3),$C49&lt;&gt;""),AND($D47=3,$C51&lt;&gt;""))),AND($C47&lt;&gt;"",AND(AND(ISNUMBER($B$7),N($B$7)&gt;=2,N($B$7)&lt;=42),MOD(N($B$7),2)=0),OR(AND($D47=2,$A47+2&gt;$B$7),AND($D47=3,$A47+4&gt;$B$7)))),"Check poles","OK")))))</f>
        <v/>
      </c>
    </row>
    <row r="48" ht="18" customHeight="1" spans="1:8" x14ac:dyDescent="0.25">
      <c r="A48" s="16">
        <v>39</v>
      </c>
      <c r="B48" s="17"/>
      <c r="C48" s="18"/>
      <c r="D48" s="18"/>
      <c r="E48" s="19"/>
      <c r="F48" s="20" t="str">
        <f>IF(COUNTA($B48:$E48)&gt;0,CHOOSE(MOD(INT(($A48-1)/2),3)+1,"A","B","C"),"")</f>
        <v/>
      </c>
      <c r="G48" s="21" t="str">
        <f>IF(COUNTA($B48:$E48)&gt;0,IF(AND(ISNUMBER($B$4),N($B$4)&gt;=1,N($B$4)&lt;=1000),IF($B$4=0,"n/a",N($E48)/$B$4),"n/a"),"")</f>
        <v/>
      </c>
      <c r="H48" s="20" t="str">
        <f>IF(N($A48)&lt;&gt;39,"Check ID",IF(NOT(COUNTA($B48:$E48)&gt;0),"",IF(AND(AND(AND(ISNUMBER($B$7),N($B$7)&gt;=2,N($B$7)&lt;=42),MOD(N($B$7),2)=0),$A48&gt;$B$7),"Beyond spaces",IF(OR(AND($C48&lt;&gt;"",NOT(AND(ISNUMBER($C48),N($C48)&gt;=0,N($C48)&lt;=1200))),AND($C48&lt;&gt;"",NOT(OR($D48=1,$D48=2,$D48=3))),AND($C48="",$D48&lt;&gt;""),AND($E48&lt;&gt;"",NOT(AND(ISNUMBER($E48),N($E48)&gt;=0,N($E48)&lt;=100000)))),"Check inputs",IF(OR(AND($C48="",NOT(OR(AND($C46&lt;&gt;"",OR($D46=2,$D46=3)),AND($C44&lt;&gt;"",$D44=3)))),AND($C48&lt;&gt;"",OR(AND(OR($D48=2,$D48=3),$C50&lt;&gt;""),AND($D48=3,TRUE))),AND($C48&lt;&gt;"",AND(AND(ISNUMBER($B$7),N($B$7)&gt;=2,N($B$7)&lt;=42),MOD(N($B$7),2)=0),OR(AND($D48=2,$A48+2&gt;$B$7),AND($D48=3,$A48+4&gt;$B$7)))),"Check poles","OK")))))</f>
        <v/>
      </c>
    </row>
    <row r="49" ht="18" customHeight="1" spans="1:8" x14ac:dyDescent="0.25">
      <c r="A49" s="16">
        <v>40</v>
      </c>
      <c r="B49" s="17"/>
      <c r="C49" s="18"/>
      <c r="D49" s="18"/>
      <c r="E49" s="19"/>
      <c r="F49" s="20" t="str">
        <f>IF(COUNTA($B49:$E49)&gt;0,CHOOSE(MOD(INT(($A49-1)/2),3)+1,"A","B","C"),"")</f>
        <v/>
      </c>
      <c r="G49" s="21" t="str">
        <f>IF(COUNTA($B49:$E49)&gt;0,IF(AND(ISNUMBER($B$4),N($B$4)&gt;=1,N($B$4)&lt;=1000),IF($B$4=0,"n/a",N($E49)/$B$4),"n/a"),"")</f>
        <v/>
      </c>
      <c r="H49" s="20" t="str">
        <f>IF(N($A49)&lt;&gt;40,"Check ID",IF(NOT(COUNTA($B49:$E49)&gt;0),"",IF(AND(AND(AND(ISNUMBER($B$7),N($B$7)&gt;=2,N($B$7)&lt;=42),MOD(N($B$7),2)=0),$A49&gt;$B$7),"Beyond spaces",IF(OR(AND($C49&lt;&gt;"",NOT(AND(ISNUMBER($C49),N($C49)&gt;=0,N($C49)&lt;=1200))),AND($C49&lt;&gt;"",NOT(OR($D49=1,$D49=2,$D49=3))),AND($C49="",$D49&lt;&gt;""),AND($E49&lt;&gt;"",NOT(AND(ISNUMBER($E49),N($E49)&gt;=0,N($E49)&lt;=100000)))),"Check inputs",IF(OR(AND($C49="",NOT(OR(AND($C47&lt;&gt;"",OR($D47=2,$D47=3)),AND($C45&lt;&gt;"",$D45=3)))),AND($C49&lt;&gt;"",OR(AND(OR($D49=2,$D49=3),$C51&lt;&gt;""),AND($D49=3,TRUE))),AND($C49&lt;&gt;"",AND(AND(ISNUMBER($B$7),N($B$7)&gt;=2,N($B$7)&lt;=42),MOD(N($B$7),2)=0),OR(AND($D49=2,$A49+2&gt;$B$7),AND($D49=3,$A49+4&gt;$B$7)))),"Check poles","OK")))))</f>
        <v/>
      </c>
    </row>
    <row r="50" ht="18" customHeight="1" spans="1:8" x14ac:dyDescent="0.25">
      <c r="A50" s="16">
        <v>41</v>
      </c>
      <c r="B50" s="17"/>
      <c r="C50" s="18"/>
      <c r="D50" s="18"/>
      <c r="E50" s="19"/>
      <c r="F50" s="20" t="str">
        <f>IF(COUNTA($B50:$E50)&gt;0,CHOOSE(MOD(INT(($A50-1)/2),3)+1,"A","B","C"),"")</f>
        <v/>
      </c>
      <c r="G50" s="21" t="str">
        <f>IF(COUNTA($B50:$E50)&gt;0,IF(AND(ISNUMBER($B$4),N($B$4)&gt;=1,N($B$4)&lt;=1000),IF($B$4=0,"n/a",N($E50)/$B$4),"n/a"),"")</f>
        <v/>
      </c>
      <c r="H50" s="20" t="str">
        <f>IF(N($A50)&lt;&gt;41,"Check ID",IF(NOT(COUNTA($B50:$E50)&gt;0),"",IF(AND(AND(AND(ISNUMBER($B$7),N($B$7)&gt;=2,N($B$7)&lt;=42),MOD(N($B$7),2)=0),$A50&gt;$B$7),"Beyond spaces",IF(OR(AND($C50&lt;&gt;"",NOT(AND(ISNUMBER($C50),N($C50)&gt;=0,N($C50)&lt;=1200))),AND($C50&lt;&gt;"",NOT(OR($D50=1,$D50=2,$D50=3))),AND($C50="",$D50&lt;&gt;""),AND($E50&lt;&gt;"",NOT(AND(ISNUMBER($E50),N($E50)&gt;=0,N($E50)&lt;=100000)))),"Check inputs",IF(OR(AND($C50="",NOT(OR(AND($C48&lt;&gt;"",OR($D48=2,$D48=3)),AND($C46&lt;&gt;"",$D46=3)))),AND($C50&lt;&gt;"",OR(AND(OR($D50=2,$D50=3),TRUE),AND($D50=3,TRUE))),AND($C50&lt;&gt;"",AND(AND(ISNUMBER($B$7),N($B$7)&gt;=2,N($B$7)&lt;=42),MOD(N($B$7),2)=0),OR(AND($D50=2,$A50+2&gt;$B$7),AND($D50=3,$A50+4&gt;$B$7)))),"Check poles","OK")))))</f>
        <v/>
      </c>
    </row>
    <row r="51" ht="18" customHeight="1" spans="1:8" x14ac:dyDescent="0.25">
      <c r="A51" s="16">
        <v>42</v>
      </c>
      <c r="B51" s="17"/>
      <c r="C51" s="18"/>
      <c r="D51" s="18"/>
      <c r="E51" s="19"/>
      <c r="F51" s="20" t="str">
        <f>IF(COUNTA($B51:$E51)&gt;0,CHOOSE(MOD(INT(($A51-1)/2),3)+1,"A","B","C"),"")</f>
        <v/>
      </c>
      <c r="G51" s="21" t="str">
        <f>IF(COUNTA($B51:$E51)&gt;0,IF(AND(ISNUMBER($B$4),N($B$4)&gt;=1,N($B$4)&lt;=1000),IF($B$4=0,"n/a",N($E51)/$B$4),"n/a"),"")</f>
        <v/>
      </c>
      <c r="H51" s="20" t="str">
        <f>IF(N($A51)&lt;&gt;42,"Check ID",IF(NOT(COUNTA($B51:$E51)&gt;0),"",IF(AND(AND(AND(ISNUMBER($B$7),N($B$7)&gt;=2,N($B$7)&lt;=42),MOD(N($B$7),2)=0),$A51&gt;$B$7),"Beyond spaces",IF(OR(AND($C51&lt;&gt;"",NOT(AND(ISNUMBER($C51),N($C51)&gt;=0,N($C51)&lt;=1200))),AND($C51&lt;&gt;"",NOT(OR($D51=1,$D51=2,$D51=3))),AND($C51="",$D51&lt;&gt;""),AND($E51&lt;&gt;"",NOT(AND(ISNUMBER($E51),N($E51)&gt;=0,N($E51)&lt;=100000)))),"Check inputs",IF(OR(AND($C51="",NOT(OR(AND($C49&lt;&gt;"",OR($D49=2,$D49=3)),AND($C47&lt;&gt;"",$D47=3)))),AND($C51&lt;&gt;"",OR(AND(OR($D51=2,$D51=3),TRUE),AND($D51=3,TRUE))),AND($C51&lt;&gt;"",AND(AND(ISNUMBER($B$7),N($B$7)&gt;=2,N($B$7)&lt;=42),MOD(N($B$7),2)=0),OR(AND($D51=2,$A51+2&gt;$B$7),AND($D51=3,$A51+4&gt;$B$7)))),"Check poles","OK")))))</f>
        <v/>
      </c>
    </row>
  </sheetData>
  <mergeCells count="7">
    <mergeCell ref="C1:H1"/>
    <mergeCell ref="C2:H2"/>
    <mergeCell ref="C3:H3"/>
    <mergeCell ref="C4:H4"/>
    <mergeCell ref="C5:H5"/>
    <mergeCell ref="C6:H6"/>
    <mergeCell ref="C7:H7"/>
  </mergeCells>
  <conditionalFormatting sqref="F10:F51">
    <cfRule type="expression" dxfId="0" priority="1">
      <formula>$F10="A"</formula>
    </cfRule>
    <cfRule type="expression" dxfId="1" priority="2">
      <formula>$F10="B"</formula>
    </cfRule>
    <cfRule type="expression" dxfId="2" priority="3">
      <formula>$F10="C"</formula>
    </cfRule>
  </conditionalFormatting>
  <conditionalFormatting sqref="H10:H51">
    <cfRule type="expression" dxfId="3" priority="10">
      <formula>$H10="Check ID"</formula>
    </cfRule>
    <cfRule type="expression" dxfId="4" priority="11">
      <formula>$H10="Beyond spaces"</formula>
    </cfRule>
    <cfRule type="expression" dxfId="5" priority="12">
      <formula>$H10="Check inputs"</formula>
    </cfRule>
    <cfRule type="expression" dxfId="6" priority="13">
      <formula>$H10="Check poles"</formula>
    </cfRule>
    <cfRule type="expression" dxfId="7" priority="20">
      <formula>$H10="OK"</formula>
    </cfRule>
  </conditionalFormatting>
  <dataValidations count="6">
    <dataValidation type="decimal" allowBlank="1" showErrorMessage="1" errorTitle="Invalid volts" error="Enter a number between 1 and 1000" sqref="B4:B5">
      <formula1>1</formula1>
      <formula2>1000</formula2>
    </dataValidation>
    <dataValidation type="decimal" allowBlank="1" showErrorMessage="1" errorTitle="Invalid rating" error="Enter a number between 0 and 5000" sqref="B6">
      <formula1>0</formula1>
      <formula2>5000</formula2>
    </dataValidation>
    <dataValidation type="whole" allowBlank="1" showErrorMessage="1" errorTitle="Invalid spaces" error="Type an even number from 2 to 42." sqref="B7">
      <formula1>2</formula1>
      <formula2>42</formula2>
    </dataValidation>
    <dataValidation type="decimal" allowBlank="1" showErrorMessage="1" errorTitle="Invalid breaker amps" error="Enter a number between 0 and 1200" sqref="C10:C51">
      <formula1>0</formula1>
      <formula2>1200</formula2>
    </dataValidation>
    <dataValidation type="whole" allowBlank="1" showErrorMessage="1" errorTitle="Invalid poles" error="Type 1, 2 or 3 on the first circuit of the breaker. Leave it blank on continuation rows." sqref="D10:D51">
      <formula1>1</formula1>
      <formula2>3</formula2>
    </dataValidation>
    <dataValidation type="decimal" allowBlank="1" showErrorMessage="1" errorTitle="Invalid load" error="Enter a number between 0 and 100000" sqref="E10:E51">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howGridLines="0"/>
  </sheetViews>
  <sheetFormatPr defaultRowHeight="15" outlineLevelRow="0" outlineLevelCol="0" x14ac:dyDescent="55"/>
  <cols>
    <col min="1" max="1" width="13" customWidth="1"/>
    <col min="2" max="2" width="28" customWidth="1"/>
    <col min="3" max="4" width="7" customWidth="1"/>
    <col min="6" max="6" width="28" customWidth="1"/>
    <col min="7" max="8" width="7" customWidth="1"/>
  </cols>
  <sheetData>
    <row r="1" spans="1:8" x14ac:dyDescent="0.25">
      <c r="A1" s="22" t="s">
        <v>74</v>
      </c>
      <c r="B1" s="22"/>
      <c r="C1" s="22"/>
      <c r="D1" s="22"/>
      <c r="E1" s="22"/>
      <c r="F1" s="22"/>
      <c r="G1" s="22"/>
      <c r="H1" s="22"/>
    </row>
    <row r="2" spans="1:8" x14ac:dyDescent="0.25">
      <c r="A2" s="11" t="s">
        <v>6</v>
      </c>
      <c r="B2" s="23" t="str">
        <f>IF(Panel!B1="","",Panel!B1)</f>
        <v>LP-1</v>
      </c>
      <c r="C2" s="23"/>
      <c r="D2" s="23"/>
      <c r="E2" s="11" t="s">
        <v>75</v>
      </c>
      <c r="F2" s="23">
        <f>IF(Panel!B6="","",Panel!B6)</f>
        <v>225</v>
      </c>
      <c r="G2" s="23"/>
      <c r="H2" s="23"/>
    </row>
    <row r="3" spans="1:8" x14ac:dyDescent="0.25">
      <c r="A3" s="11" t="s">
        <v>35</v>
      </c>
      <c r="B3" s="23" t="str">
        <f>IF(Panel!B2="","",Panel!B2)</f>
        <v>Warehouse, north wall (sample)</v>
      </c>
      <c r="C3" s="23"/>
      <c r="D3" s="23"/>
      <c r="E3" s="11" t="s">
        <v>76</v>
      </c>
      <c r="F3" s="23" t="str">
        <f>IF(AND(AND(ISNUMBER(Panel!B4),N(Panel!B4)&gt;=1,N(Panel!B4)&lt;=1000),AND(ISNUMBER(Panel!B5),N(Panel!B5)&gt;=1,N(Panel!B5)&lt;=1000)),Panel!B4&amp;"/"&amp;Panel!B5&amp;" V, 3-phase, 4-wire","")</f>
        <v>120/208 V, 3-phase, 4-wire</v>
      </c>
      <c r="G3" s="23"/>
      <c r="H3" s="23"/>
    </row>
    <row r="4" spans="1:8" x14ac:dyDescent="0.25">
      <c r="A4" s="11" t="s">
        <v>38</v>
      </c>
      <c r="B4" s="23" t="str">
        <f>IF(Panel!B3="","",Panel!B3)</f>
        <v>MDP-1, circuit 4 (sample)</v>
      </c>
      <c r="C4" s="23"/>
      <c r="D4" s="23"/>
      <c r="E4" s="11" t="s">
        <v>47</v>
      </c>
      <c r="F4" s="23">
        <f>IF(AND(AND(ISNUMBER(Panel!$B$7),N(Panel!$B$7)&gt;=2,N(Panel!$B$7)&lt;=42),MOD(N(Panel!$B$7),2)=0),Panel!B7,"")</f>
        <v>30</v>
      </c>
      <c r="G4" s="23"/>
      <c r="H4" s="23"/>
    </row>
    <row r="5" spans="1:2" x14ac:dyDescent="0.25">
      <c r="A5" s="11" t="s">
        <v>77</v>
      </c>
      <c r="B5" s="24">
        <v>46328</v>
      </c>
    </row>
    <row r="7" ht="22" customHeight="1" spans="1:8" x14ac:dyDescent="0.25">
      <c r="A7" s="15" t="s">
        <v>78</v>
      </c>
      <c r="B7" s="15" t="s">
        <v>50</v>
      </c>
      <c r="C7" s="15" t="s">
        <v>79</v>
      </c>
      <c r="D7" s="15" t="s">
        <v>52</v>
      </c>
      <c r="E7" s="15" t="s">
        <v>78</v>
      </c>
      <c r="F7" s="15" t="s">
        <v>50</v>
      </c>
      <c r="G7" s="15" t="s">
        <v>79</v>
      </c>
      <c r="H7" s="15" t="s">
        <v>52</v>
      </c>
    </row>
    <row r="8" ht="18" customHeight="1" spans="1:8" x14ac:dyDescent="0.25">
      <c r="A8" s="16">
        <f>IF(AND(AND(AND(ISNUMBER(Panel!$B$7),N(Panel!$B$7)&gt;=2,N(Panel!$B$7)&lt;=42),MOD(N(Panel!$B$7),2)=0),1&lt;=Panel!$B$7),1,"")</f>
        <v>1</v>
      </c>
      <c r="B8" s="23" t="str">
        <f>IF($A8="","",IFERROR(IF(INDEX(Panel!$B$10:$B$51,MATCH($A8,Panel!$A$10:$A$51,0))="","",INDEX(Panel!$B$10:$B$51,MATCH($A8,Panel!$A$10:$A$51,0))),""))</f>
        <v>Lighting - sales floor</v>
      </c>
      <c r="C8" s="25">
        <f>IF($A8="","",IFERROR(IF(INDEX(Panel!$C$10:$C$51,MATCH($A8,Panel!$A$10:$A$51,0))="","",INDEX(Panel!$C$10:$C$51,MATCH($A8,Panel!$A$10:$A$51,0))),""))</f>
        <v>20</v>
      </c>
      <c r="D8" s="25">
        <f>IF($A8="","",IFERROR(IF(INDEX(Panel!$D$10:$D$51,MATCH($A8,Panel!$A$10:$A$51,0))="","",INDEX(Panel!$D$10:$D$51,MATCH($A8,Panel!$A$10:$A$51,0))),""))</f>
        <v>1</v>
      </c>
      <c r="E8" s="16">
        <f>IF(AND(AND(AND(ISNUMBER(Panel!$B$7),N(Panel!$B$7)&gt;=2,N(Panel!$B$7)&lt;=42),MOD(N(Panel!$B$7),2)=0),2&lt;=Panel!$B$7),2,"")</f>
        <v>2</v>
      </c>
      <c r="F8" s="23" t="str">
        <f>IF($E8="","",IFERROR(IF(INDEX(Panel!$B$10:$B$51,MATCH($E8,Panel!$A$10:$A$51,0))="","",INDEX(Panel!$B$10:$B$51,MATCH($E8,Panel!$A$10:$A$51,0))),""))</f>
        <v>Receptacles - office</v>
      </c>
      <c r="G8" s="25">
        <f>IF($E8="","",IFERROR(IF(INDEX(Panel!$C$10:$C$51,MATCH($E8,Panel!$A$10:$A$51,0))="","",INDEX(Panel!$C$10:$C$51,MATCH($E8,Panel!$A$10:$A$51,0))),""))</f>
        <v>20</v>
      </c>
      <c r="H8" s="25">
        <f>IF($E8="","",IFERROR(IF(INDEX(Panel!$D$10:$D$51,MATCH($E8,Panel!$A$10:$A$51,0))="","",INDEX(Panel!$D$10:$D$51,MATCH($E8,Panel!$A$10:$A$51,0))),""))</f>
        <v>1</v>
      </c>
    </row>
    <row r="9" ht="18" customHeight="1" spans="1:8" x14ac:dyDescent="0.25">
      <c r="A9" s="16">
        <f>IF(AND(AND(AND(ISNUMBER(Panel!$B$7),N(Panel!$B$7)&gt;=2,N(Panel!$B$7)&lt;=42),MOD(N(Panel!$B$7),2)=0),3&lt;=Panel!$B$7),3,"")</f>
        <v>3</v>
      </c>
      <c r="B9" s="23" t="str">
        <f>IF($A9="","",IFERROR(IF(INDEX(Panel!$B$10:$B$51,MATCH($A9,Panel!$A$10:$A$51,0))="","",INDEX(Panel!$B$10:$B$51,MATCH($A9,Panel!$A$10:$A$51,0))),""))</f>
        <v>Lighting - warehouse</v>
      </c>
      <c r="C9" s="25">
        <f>IF($A9="","",IFERROR(IF(INDEX(Panel!$C$10:$C$51,MATCH($A9,Panel!$A$10:$A$51,0))="","",INDEX(Panel!$C$10:$C$51,MATCH($A9,Panel!$A$10:$A$51,0))),""))</f>
        <v>20</v>
      </c>
      <c r="D9" s="25">
        <f>IF($A9="","",IFERROR(IF(INDEX(Panel!$D$10:$D$51,MATCH($A9,Panel!$A$10:$A$51,0))="","",INDEX(Panel!$D$10:$D$51,MATCH($A9,Panel!$A$10:$A$51,0))),""))</f>
        <v>1</v>
      </c>
      <c r="E9" s="16">
        <f>IF(AND(AND(AND(ISNUMBER(Panel!$B$7),N(Panel!$B$7)&gt;=2,N(Panel!$B$7)&lt;=42),MOD(N(Panel!$B$7),2)=0),4&lt;=Panel!$B$7),4,"")</f>
        <v>4</v>
      </c>
      <c r="F9" s="23" t="str">
        <f>IF($E9="","",IFERROR(IF(INDEX(Panel!$B$10:$B$51,MATCH($E9,Panel!$A$10:$A$51,0))="","",INDEX(Panel!$B$10:$B$51,MATCH($E9,Panel!$A$10:$A$51,0))),""))</f>
        <v>Receptacles - break room</v>
      </c>
      <c r="G9" s="25">
        <f>IF($E9="","",IFERROR(IF(INDEX(Panel!$C$10:$C$51,MATCH($E9,Panel!$A$10:$A$51,0))="","",INDEX(Panel!$C$10:$C$51,MATCH($E9,Panel!$A$10:$A$51,0))),""))</f>
        <v>20</v>
      </c>
      <c r="H9" s="25">
        <f>IF($E9="","",IFERROR(IF(INDEX(Panel!$D$10:$D$51,MATCH($E9,Panel!$A$10:$A$51,0))="","",INDEX(Panel!$D$10:$D$51,MATCH($E9,Panel!$A$10:$A$51,0))),""))</f>
        <v>1</v>
      </c>
    </row>
    <row r="10" ht="18" customHeight="1" spans="1:8" x14ac:dyDescent="0.25">
      <c r="A10" s="16">
        <f>IF(AND(AND(AND(ISNUMBER(Panel!$B$7),N(Panel!$B$7)&gt;=2,N(Panel!$B$7)&lt;=42),MOD(N(Panel!$B$7),2)=0),5&lt;=Panel!$B$7),5,"")</f>
        <v>5</v>
      </c>
      <c r="B10" s="23" t="str">
        <f>IF($A10="","",IFERROR(IF(INDEX(Panel!$B$10:$B$51,MATCH($A10,Panel!$A$10:$A$51,0))="","",INDEX(Panel!$B$10:$B$51,MATCH($A10,Panel!$A$10:$A$51,0))),""))</f>
        <v>Exterior lighting</v>
      </c>
      <c r="C10" s="25">
        <f>IF($A10="","",IFERROR(IF(INDEX(Panel!$C$10:$C$51,MATCH($A10,Panel!$A$10:$A$51,0))="","",INDEX(Panel!$C$10:$C$51,MATCH($A10,Panel!$A$10:$A$51,0))),""))</f>
        <v>20</v>
      </c>
      <c r="D10" s="25">
        <f>IF($A10="","",IFERROR(IF(INDEX(Panel!$D$10:$D$51,MATCH($A10,Panel!$A$10:$A$51,0))="","",INDEX(Panel!$D$10:$D$51,MATCH($A10,Panel!$A$10:$A$51,0))),""))</f>
        <v>1</v>
      </c>
      <c r="E10" s="16">
        <f>IF(AND(AND(AND(ISNUMBER(Panel!$B$7),N(Panel!$B$7)&gt;=2,N(Panel!$B$7)&lt;=42),MOD(N(Panel!$B$7),2)=0),6&lt;=Panel!$B$7),6,"")</f>
        <v>6</v>
      </c>
      <c r="F10" s="23" t="str">
        <f>IF($E10="","",IFERROR(IF(INDEX(Panel!$B$10:$B$51,MATCH($E10,Panel!$A$10:$A$51,0))="","",INDEX(Panel!$B$10:$B$51,MATCH($E10,Panel!$A$10:$A$51,0))),""))</f>
        <v>Water heater</v>
      </c>
      <c r="G10" s="25">
        <f>IF($E10="","",IFERROR(IF(INDEX(Panel!$C$10:$C$51,MATCH($E10,Panel!$A$10:$A$51,0))="","",INDEX(Panel!$C$10:$C$51,MATCH($E10,Panel!$A$10:$A$51,0))),""))</f>
        <v>30</v>
      </c>
      <c r="H10" s="25">
        <f>IF($E10="","",IFERROR(IF(INDEX(Panel!$D$10:$D$51,MATCH($E10,Panel!$A$10:$A$51,0))="","",INDEX(Panel!$D$10:$D$51,MATCH($E10,Panel!$A$10:$A$51,0))),""))</f>
        <v>2</v>
      </c>
    </row>
    <row r="11" ht="18" customHeight="1" spans="1:8" x14ac:dyDescent="0.25">
      <c r="A11" s="16">
        <f>IF(AND(AND(AND(ISNUMBER(Panel!$B$7),N(Panel!$B$7)&gt;=2,N(Panel!$B$7)&lt;=42),MOD(N(Panel!$B$7),2)=0),7&lt;=Panel!$B$7),7,"")</f>
        <v>7</v>
      </c>
      <c r="B11" s="23" t="str">
        <f>IF($A11="","",IFERROR(IF(INDEX(Panel!$B$10:$B$51,MATCH($A11,Panel!$A$10:$A$51,0))="","",INDEX(Panel!$B$10:$B$51,MATCH($A11,Panel!$A$10:$A$51,0))),""))</f>
        <v>RTU-1</v>
      </c>
      <c r="C11" s="25">
        <f>IF($A11="","",IFERROR(IF(INDEX(Panel!$C$10:$C$51,MATCH($A11,Panel!$A$10:$A$51,0))="","",INDEX(Panel!$C$10:$C$51,MATCH($A11,Panel!$A$10:$A$51,0))),""))</f>
        <v>40</v>
      </c>
      <c r="D11" s="25">
        <f>IF($A11="","",IFERROR(IF(INDEX(Panel!$D$10:$D$51,MATCH($A11,Panel!$A$10:$A$51,0))="","",INDEX(Panel!$D$10:$D$51,MATCH($A11,Panel!$A$10:$A$51,0))),""))</f>
        <v>3</v>
      </c>
      <c r="E11" s="16">
        <f>IF(AND(AND(AND(ISNUMBER(Panel!$B$7),N(Panel!$B$7)&gt;=2,N(Panel!$B$7)&lt;=42),MOD(N(Panel!$B$7),2)=0),8&lt;=Panel!$B$7),8,"")</f>
        <v>8</v>
      </c>
      <c r="F11" s="23" t="str">
        <f>IF($E11="","",IFERROR(IF(INDEX(Panel!$B$10:$B$51,MATCH($E11,Panel!$A$10:$A$51,0))="","",INDEX(Panel!$B$10:$B$51,MATCH($E11,Panel!$A$10:$A$51,0))),""))</f>
        <v>Water heater (second pole)</v>
      </c>
      <c r="G11" s="25" t="str">
        <f>IF($E11="","",IFERROR(IF(INDEX(Panel!$C$10:$C$51,MATCH($E11,Panel!$A$10:$A$51,0))="","",INDEX(Panel!$C$10:$C$51,MATCH($E11,Panel!$A$10:$A$51,0))),""))</f>
        <v/>
      </c>
      <c r="H11" s="25" t="str">
        <f>IF($E11="","",IFERROR(IF(INDEX(Panel!$D$10:$D$51,MATCH($E11,Panel!$A$10:$A$51,0))="","",INDEX(Panel!$D$10:$D$51,MATCH($E11,Panel!$A$10:$A$51,0))),""))</f>
        <v/>
      </c>
    </row>
    <row r="12" ht="18" customHeight="1" spans="1:8" x14ac:dyDescent="0.25">
      <c r="A12" s="16">
        <f>IF(AND(AND(AND(ISNUMBER(Panel!$B$7),N(Panel!$B$7)&gt;=2,N(Panel!$B$7)&lt;=42),MOD(N(Panel!$B$7),2)=0),9&lt;=Panel!$B$7),9,"")</f>
        <v>9</v>
      </c>
      <c r="B12" s="23" t="str">
        <f>IF($A12="","",IFERROR(IF(INDEX(Panel!$B$10:$B$51,MATCH($A12,Panel!$A$10:$A$51,0))="","",INDEX(Panel!$B$10:$B$51,MATCH($A12,Panel!$A$10:$A$51,0))),""))</f>
        <v>RTU-1 (second pole)</v>
      </c>
      <c r="C12" s="25" t="str">
        <f>IF($A12="","",IFERROR(IF(INDEX(Panel!$C$10:$C$51,MATCH($A12,Panel!$A$10:$A$51,0))="","",INDEX(Panel!$C$10:$C$51,MATCH($A12,Panel!$A$10:$A$51,0))),""))</f>
        <v/>
      </c>
      <c r="D12" s="25" t="str">
        <f>IF($A12="","",IFERROR(IF(INDEX(Panel!$D$10:$D$51,MATCH($A12,Panel!$A$10:$A$51,0))="","",INDEX(Panel!$D$10:$D$51,MATCH($A12,Panel!$A$10:$A$51,0))),""))</f>
        <v/>
      </c>
      <c r="E12" s="16">
        <f>IF(AND(AND(AND(ISNUMBER(Panel!$B$7),N(Panel!$B$7)&gt;=2,N(Panel!$B$7)&lt;=42),MOD(N(Panel!$B$7),2)=0),10&lt;=Panel!$B$7),10,"")</f>
        <v>10</v>
      </c>
      <c r="F12" s="23" t="str">
        <f>IF($E12="","",IFERROR(IF(INDEX(Panel!$B$10:$B$51,MATCH($E12,Panel!$A$10:$A$51,0))="","",INDEX(Panel!$B$10:$B$51,MATCH($E12,Panel!$A$10:$A$51,0))),""))</f>
        <v>Refrigerator / freezer</v>
      </c>
      <c r="G12" s="25">
        <f>IF($E12="","",IFERROR(IF(INDEX(Panel!$C$10:$C$51,MATCH($E12,Panel!$A$10:$A$51,0))="","",INDEX(Panel!$C$10:$C$51,MATCH($E12,Panel!$A$10:$A$51,0))),""))</f>
        <v>20</v>
      </c>
      <c r="H12" s="25">
        <f>IF($E12="","",IFERROR(IF(INDEX(Panel!$D$10:$D$51,MATCH($E12,Panel!$A$10:$A$51,0))="","",INDEX(Panel!$D$10:$D$51,MATCH($E12,Panel!$A$10:$A$51,0))),""))</f>
        <v>1</v>
      </c>
    </row>
    <row r="13" ht="18" customHeight="1" spans="1:8" x14ac:dyDescent="0.25">
      <c r="A13" s="16">
        <f>IF(AND(AND(AND(ISNUMBER(Panel!$B$7),N(Panel!$B$7)&gt;=2,N(Panel!$B$7)&lt;=42),MOD(N(Panel!$B$7),2)=0),11&lt;=Panel!$B$7),11,"")</f>
        <v>11</v>
      </c>
      <c r="B13" s="23" t="str">
        <f>IF($A13="","",IFERROR(IF(INDEX(Panel!$B$10:$B$51,MATCH($A13,Panel!$A$10:$A$51,0))="","",INDEX(Panel!$B$10:$B$51,MATCH($A13,Panel!$A$10:$A$51,0))),""))</f>
        <v>RTU-1 (third pole)</v>
      </c>
      <c r="C13" s="25" t="str">
        <f>IF($A13="","",IFERROR(IF(INDEX(Panel!$C$10:$C$51,MATCH($A13,Panel!$A$10:$A$51,0))="","",INDEX(Panel!$C$10:$C$51,MATCH($A13,Panel!$A$10:$A$51,0))),""))</f>
        <v/>
      </c>
      <c r="D13" s="25" t="str">
        <f>IF($A13="","",IFERROR(IF(INDEX(Panel!$D$10:$D$51,MATCH($A13,Panel!$A$10:$A$51,0))="","",INDEX(Panel!$D$10:$D$51,MATCH($A13,Panel!$A$10:$A$51,0))),""))</f>
        <v/>
      </c>
      <c r="E13" s="16">
        <f>IF(AND(AND(AND(ISNUMBER(Panel!$B$7),N(Panel!$B$7)&gt;=2,N(Panel!$B$7)&lt;=42),MOD(N(Panel!$B$7),2)=0),12&lt;=Panel!$B$7),12,"")</f>
        <v>12</v>
      </c>
      <c r="F13" s="23" t="str">
        <f>IF($E13="","",IFERROR(IF(INDEX(Panel!$B$10:$B$51,MATCH($E13,Panel!$A$10:$A$51,0))="","",INDEX(Panel!$B$10:$B$51,MATCH($E13,Panel!$A$10:$A$51,0))),""))</f>
        <v>Server closet</v>
      </c>
      <c r="G13" s="25">
        <f>IF($E13="","",IFERROR(IF(INDEX(Panel!$C$10:$C$51,MATCH($E13,Panel!$A$10:$A$51,0))="","",INDEX(Panel!$C$10:$C$51,MATCH($E13,Panel!$A$10:$A$51,0))),""))</f>
        <v>20</v>
      </c>
      <c r="H13" s="25">
        <f>IF($E13="","",IFERROR(IF(INDEX(Panel!$D$10:$D$51,MATCH($E13,Panel!$A$10:$A$51,0))="","",INDEX(Panel!$D$10:$D$51,MATCH($E13,Panel!$A$10:$A$51,0))),""))</f>
        <v>1</v>
      </c>
    </row>
    <row r="14" ht="18" customHeight="1" spans="1:8" x14ac:dyDescent="0.25">
      <c r="A14" s="16">
        <f>IF(AND(AND(AND(ISNUMBER(Panel!$B$7),N(Panel!$B$7)&gt;=2,N(Panel!$B$7)&lt;=42),MOD(N(Panel!$B$7),2)=0),13&lt;=Panel!$B$7),13,"")</f>
        <v>13</v>
      </c>
      <c r="B14" s="23" t="str">
        <f>IF($A14="","",IFERROR(IF(INDEX(Panel!$B$10:$B$51,MATCH($A14,Panel!$A$10:$A$51,0))="","",INDEX(Panel!$B$10:$B$51,MATCH($A14,Panel!$A$10:$A$51,0))),""))</f>
        <v>Exhaust fan EF-1</v>
      </c>
      <c r="C14" s="25">
        <f>IF($A14="","",IFERROR(IF(INDEX(Panel!$C$10:$C$51,MATCH($A14,Panel!$A$10:$A$51,0))="","",INDEX(Panel!$C$10:$C$51,MATCH($A14,Panel!$A$10:$A$51,0))),""))</f>
        <v>15</v>
      </c>
      <c r="D14" s="25">
        <f>IF($A14="","",IFERROR(IF(INDEX(Panel!$D$10:$D$51,MATCH($A14,Panel!$A$10:$A$51,0))="","",INDEX(Panel!$D$10:$D$51,MATCH($A14,Panel!$A$10:$A$51,0))),""))</f>
        <v>1</v>
      </c>
      <c r="E14" s="16">
        <f>IF(AND(AND(AND(ISNUMBER(Panel!$B$7),N(Panel!$B$7)&gt;=2,N(Panel!$B$7)&lt;=42),MOD(N(Panel!$B$7),2)=0),14&lt;=Panel!$B$7),14,"")</f>
        <v>14</v>
      </c>
      <c r="F14" s="23" t="str">
        <f>IF($E14="","",IFERROR(IF(INDEX(Panel!$B$10:$B$51,MATCH($E14,Panel!$A$10:$A$51,0))="","",INDEX(Panel!$B$10:$B$51,MATCH($E14,Panel!$A$10:$A$51,0))),""))</f>
        <v>Spare</v>
      </c>
      <c r="G14" s="25">
        <f>IF($E14="","",IFERROR(IF(INDEX(Panel!$C$10:$C$51,MATCH($E14,Panel!$A$10:$A$51,0))="","",INDEX(Panel!$C$10:$C$51,MATCH($E14,Panel!$A$10:$A$51,0))),""))</f>
        <v>20</v>
      </c>
      <c r="H14" s="25">
        <f>IF($E14="","",IFERROR(IF(INDEX(Panel!$D$10:$D$51,MATCH($E14,Panel!$A$10:$A$51,0))="","",INDEX(Panel!$D$10:$D$51,MATCH($E14,Panel!$A$10:$A$51,0))),""))</f>
        <v>1</v>
      </c>
    </row>
    <row r="15" ht="18" customHeight="1" spans="1:8" x14ac:dyDescent="0.25">
      <c r="A15" s="16">
        <f>IF(AND(AND(AND(ISNUMBER(Panel!$B$7),N(Panel!$B$7)&gt;=2,N(Panel!$B$7)&lt;=42),MOD(N(Panel!$B$7),2)=0),15&lt;=Panel!$B$7),15,"")</f>
        <v>15</v>
      </c>
      <c r="B15" s="23" t="str">
        <f>IF($A15="","",IFERROR(IF(INDEX(Panel!$B$10:$B$51,MATCH($A15,Panel!$A$10:$A$51,0))="","",INDEX(Panel!$B$10:$B$51,MATCH($A15,Panel!$A$10:$A$51,0))),""))</f>
        <v>Receptacles - warehouse</v>
      </c>
      <c r="C15" s="25">
        <f>IF($A15="","",IFERROR(IF(INDEX(Panel!$C$10:$C$51,MATCH($A15,Panel!$A$10:$A$51,0))="","",INDEX(Panel!$C$10:$C$51,MATCH($A15,Panel!$A$10:$A$51,0))),""))</f>
        <v>20</v>
      </c>
      <c r="D15" s="25">
        <f>IF($A15="","",IFERROR(IF(INDEX(Panel!$D$10:$D$51,MATCH($A15,Panel!$A$10:$A$51,0))="","",INDEX(Panel!$D$10:$D$51,MATCH($A15,Panel!$A$10:$A$51,0))),""))</f>
        <v>1</v>
      </c>
      <c r="E15" s="16">
        <f>IF(AND(AND(AND(ISNUMBER(Panel!$B$7),N(Panel!$B$7)&gt;=2,N(Panel!$B$7)&lt;=42),MOD(N(Panel!$B$7),2)=0),16&lt;=Panel!$B$7),16,"")</f>
        <v>16</v>
      </c>
      <c r="F15" s="23" t="str">
        <f>IF($E15="","",IFERROR(IF(INDEX(Panel!$B$10:$B$51,MATCH($E15,Panel!$A$10:$A$51,0))="","",INDEX(Panel!$B$10:$B$51,MATCH($E15,Panel!$A$10:$A$51,0))),""))</f>
        <v>Overhead door opener</v>
      </c>
      <c r="G15" s="25">
        <f>IF($E15="","",IFERROR(IF(INDEX(Panel!$C$10:$C$51,MATCH($E15,Panel!$A$10:$A$51,0))="","",INDEX(Panel!$C$10:$C$51,MATCH($E15,Panel!$A$10:$A$51,0))),""))</f>
        <v>20</v>
      </c>
      <c r="H15" s="25">
        <f>IF($E15="","",IFERROR(IF(INDEX(Panel!$D$10:$D$51,MATCH($E15,Panel!$A$10:$A$51,0))="","",INDEX(Panel!$D$10:$D$51,MATCH($E15,Panel!$A$10:$A$51,0))),""))</f>
        <v>1</v>
      </c>
    </row>
    <row r="16" ht="18" customHeight="1" spans="1:8" x14ac:dyDescent="0.25">
      <c r="A16" s="16">
        <f>IF(AND(AND(AND(ISNUMBER(Panel!$B$7),N(Panel!$B$7)&gt;=2,N(Panel!$B$7)&lt;=42),MOD(N(Panel!$B$7),2)=0),17&lt;=Panel!$B$7),17,"")</f>
        <v>17</v>
      </c>
      <c r="B16" s="23" t="str">
        <f>IF($A16="","",IFERROR(IF(INDEX(Panel!$B$10:$B$51,MATCH($A16,Panel!$A$10:$A$51,0))="","",INDEX(Panel!$B$10:$B$51,MATCH($A16,Panel!$A$10:$A$51,0))),""))</f>
        <v>Spare</v>
      </c>
      <c r="C16" s="25">
        <f>IF($A16="","",IFERROR(IF(INDEX(Panel!$C$10:$C$51,MATCH($A16,Panel!$A$10:$A$51,0))="","",INDEX(Panel!$C$10:$C$51,MATCH($A16,Panel!$A$10:$A$51,0))),""))</f>
        <v>20</v>
      </c>
      <c r="D16" s="25">
        <f>IF($A16="","",IFERROR(IF(INDEX(Panel!$D$10:$D$51,MATCH($A16,Panel!$A$10:$A$51,0))="","",INDEX(Panel!$D$10:$D$51,MATCH($A16,Panel!$A$10:$A$51,0))),""))</f>
        <v>1</v>
      </c>
      <c r="E16" s="16">
        <f>IF(AND(AND(AND(ISNUMBER(Panel!$B$7),N(Panel!$B$7)&gt;=2,N(Panel!$B$7)&lt;=42),MOD(N(Panel!$B$7),2)=0),18&lt;=Panel!$B$7),18,"")</f>
        <v>18</v>
      </c>
      <c r="F16" s="23" t="str">
        <f>IF($E16="","",IFERROR(IF(INDEX(Panel!$B$10:$B$51,MATCH($E16,Panel!$A$10:$A$51,0))="","",INDEX(Panel!$B$10:$B$51,MATCH($E16,Panel!$A$10:$A$51,0))),""))</f>
        <v>Sign</v>
      </c>
      <c r="G16" s="25">
        <f>IF($E16="","",IFERROR(IF(INDEX(Panel!$C$10:$C$51,MATCH($E16,Panel!$A$10:$A$51,0))="","",INDEX(Panel!$C$10:$C$51,MATCH($E16,Panel!$A$10:$A$51,0))),""))</f>
        <v>20</v>
      </c>
      <c r="H16" s="25">
        <f>IF($E16="","",IFERROR(IF(INDEX(Panel!$D$10:$D$51,MATCH($E16,Panel!$A$10:$A$51,0))="","",INDEX(Panel!$D$10:$D$51,MATCH($E16,Panel!$A$10:$A$51,0))),""))</f>
        <v>1</v>
      </c>
    </row>
    <row r="17" ht="18" customHeight="1" spans="1:8" x14ac:dyDescent="0.25">
      <c r="A17" s="16">
        <f>IF(AND(AND(AND(ISNUMBER(Panel!$B$7),N(Panel!$B$7)&gt;=2,N(Panel!$B$7)&lt;=42),MOD(N(Panel!$B$7),2)=0),19&lt;=Panel!$B$7),19,"")</f>
        <v>19</v>
      </c>
      <c r="B17" s="23" t="str">
        <f>IF($A17="","",IFERROR(IF(INDEX(Panel!$B$10:$B$51,MATCH($A17,Panel!$A$10:$A$51,0))="","",INDEX(Panel!$B$10:$B$51,MATCH($A17,Panel!$A$10:$A$51,0))),""))</f>
        <v/>
      </c>
      <c r="C17" s="25" t="str">
        <f>IF($A17="","",IFERROR(IF(INDEX(Panel!$C$10:$C$51,MATCH($A17,Panel!$A$10:$A$51,0))="","",INDEX(Panel!$C$10:$C$51,MATCH($A17,Panel!$A$10:$A$51,0))),""))</f>
        <v/>
      </c>
      <c r="D17" s="25" t="str">
        <f>IF($A17="","",IFERROR(IF(INDEX(Panel!$D$10:$D$51,MATCH($A17,Panel!$A$10:$A$51,0))="","",INDEX(Panel!$D$10:$D$51,MATCH($A17,Panel!$A$10:$A$51,0))),""))</f>
        <v/>
      </c>
      <c r="E17" s="16">
        <f>IF(AND(AND(AND(ISNUMBER(Panel!$B$7),N(Panel!$B$7)&gt;=2,N(Panel!$B$7)&lt;=42),MOD(N(Panel!$B$7),2)=0),20&lt;=Panel!$B$7),20,"")</f>
        <v>20</v>
      </c>
      <c r="F17" s="23" t="str">
        <f>IF($E17="","",IFERROR(IF(INDEX(Panel!$B$10:$B$51,MATCH($E17,Panel!$A$10:$A$51,0))="","",INDEX(Panel!$B$10:$B$51,MATCH($E17,Panel!$A$10:$A$51,0))),""))</f>
        <v/>
      </c>
      <c r="G17" s="25" t="str">
        <f>IF($E17="","",IFERROR(IF(INDEX(Panel!$C$10:$C$51,MATCH($E17,Panel!$A$10:$A$51,0))="","",INDEX(Panel!$C$10:$C$51,MATCH($E17,Panel!$A$10:$A$51,0))),""))</f>
        <v/>
      </c>
      <c r="H17" s="25" t="str">
        <f>IF($E17="","",IFERROR(IF(INDEX(Panel!$D$10:$D$51,MATCH($E17,Panel!$A$10:$A$51,0))="","",INDEX(Panel!$D$10:$D$51,MATCH($E17,Panel!$A$10:$A$51,0))),""))</f>
        <v/>
      </c>
    </row>
    <row r="18" ht="18" customHeight="1" spans="1:8" x14ac:dyDescent="0.25">
      <c r="A18" s="16">
        <f>IF(AND(AND(AND(ISNUMBER(Panel!$B$7),N(Panel!$B$7)&gt;=2,N(Panel!$B$7)&lt;=42),MOD(N(Panel!$B$7),2)=0),21&lt;=Panel!$B$7),21,"")</f>
        <v>21</v>
      </c>
      <c r="B18" s="23" t="str">
        <f>IF($A18="","",IFERROR(IF(INDEX(Panel!$B$10:$B$51,MATCH($A18,Panel!$A$10:$A$51,0))="","",INDEX(Panel!$B$10:$B$51,MATCH($A18,Panel!$A$10:$A$51,0))),""))</f>
        <v/>
      </c>
      <c r="C18" s="25" t="str">
        <f>IF($A18="","",IFERROR(IF(INDEX(Panel!$C$10:$C$51,MATCH($A18,Panel!$A$10:$A$51,0))="","",INDEX(Panel!$C$10:$C$51,MATCH($A18,Panel!$A$10:$A$51,0))),""))</f>
        <v/>
      </c>
      <c r="D18" s="25" t="str">
        <f>IF($A18="","",IFERROR(IF(INDEX(Panel!$D$10:$D$51,MATCH($A18,Panel!$A$10:$A$51,0))="","",INDEX(Panel!$D$10:$D$51,MATCH($A18,Panel!$A$10:$A$51,0))),""))</f>
        <v/>
      </c>
      <c r="E18" s="16">
        <f>IF(AND(AND(AND(ISNUMBER(Panel!$B$7),N(Panel!$B$7)&gt;=2,N(Panel!$B$7)&lt;=42),MOD(N(Panel!$B$7),2)=0),22&lt;=Panel!$B$7),22,"")</f>
        <v>22</v>
      </c>
      <c r="F18" s="23" t="str">
        <f>IF($E18="","",IFERROR(IF(INDEX(Panel!$B$10:$B$51,MATCH($E18,Panel!$A$10:$A$51,0))="","",INDEX(Panel!$B$10:$B$51,MATCH($E18,Panel!$A$10:$A$51,0))),""))</f>
        <v/>
      </c>
      <c r="G18" s="25" t="str">
        <f>IF($E18="","",IFERROR(IF(INDEX(Panel!$C$10:$C$51,MATCH($E18,Panel!$A$10:$A$51,0))="","",INDEX(Panel!$C$10:$C$51,MATCH($E18,Panel!$A$10:$A$51,0))),""))</f>
        <v/>
      </c>
      <c r="H18" s="25" t="str">
        <f>IF($E18="","",IFERROR(IF(INDEX(Panel!$D$10:$D$51,MATCH($E18,Panel!$A$10:$A$51,0))="","",INDEX(Panel!$D$10:$D$51,MATCH($E18,Panel!$A$10:$A$51,0))),""))</f>
        <v/>
      </c>
    </row>
    <row r="19" ht="18" customHeight="1" spans="1:8" x14ac:dyDescent="0.25">
      <c r="A19" s="16">
        <f>IF(AND(AND(AND(ISNUMBER(Panel!$B$7),N(Panel!$B$7)&gt;=2,N(Panel!$B$7)&lt;=42),MOD(N(Panel!$B$7),2)=0),23&lt;=Panel!$B$7),23,"")</f>
        <v>23</v>
      </c>
      <c r="B19" s="23" t="str">
        <f>IF($A19="","",IFERROR(IF(INDEX(Panel!$B$10:$B$51,MATCH($A19,Panel!$A$10:$A$51,0))="","",INDEX(Panel!$B$10:$B$51,MATCH($A19,Panel!$A$10:$A$51,0))),""))</f>
        <v/>
      </c>
      <c r="C19" s="25" t="str">
        <f>IF($A19="","",IFERROR(IF(INDEX(Panel!$C$10:$C$51,MATCH($A19,Panel!$A$10:$A$51,0))="","",INDEX(Panel!$C$10:$C$51,MATCH($A19,Panel!$A$10:$A$51,0))),""))</f>
        <v/>
      </c>
      <c r="D19" s="25" t="str">
        <f>IF($A19="","",IFERROR(IF(INDEX(Panel!$D$10:$D$51,MATCH($A19,Panel!$A$10:$A$51,0))="","",INDEX(Panel!$D$10:$D$51,MATCH($A19,Panel!$A$10:$A$51,0))),""))</f>
        <v/>
      </c>
      <c r="E19" s="16">
        <f>IF(AND(AND(AND(ISNUMBER(Panel!$B$7),N(Panel!$B$7)&gt;=2,N(Panel!$B$7)&lt;=42),MOD(N(Panel!$B$7),2)=0),24&lt;=Panel!$B$7),24,"")</f>
        <v>24</v>
      </c>
      <c r="F19" s="23" t="str">
        <f>IF($E19="","",IFERROR(IF(INDEX(Panel!$B$10:$B$51,MATCH($E19,Panel!$A$10:$A$51,0))="","",INDEX(Panel!$B$10:$B$51,MATCH($E19,Panel!$A$10:$A$51,0))),""))</f>
        <v/>
      </c>
      <c r="G19" s="25" t="str">
        <f>IF($E19="","",IFERROR(IF(INDEX(Panel!$C$10:$C$51,MATCH($E19,Panel!$A$10:$A$51,0))="","",INDEX(Panel!$C$10:$C$51,MATCH($E19,Panel!$A$10:$A$51,0))),""))</f>
        <v/>
      </c>
      <c r="H19" s="25" t="str">
        <f>IF($E19="","",IFERROR(IF(INDEX(Panel!$D$10:$D$51,MATCH($E19,Panel!$A$10:$A$51,0))="","",INDEX(Panel!$D$10:$D$51,MATCH($E19,Panel!$A$10:$A$51,0))),""))</f>
        <v/>
      </c>
    </row>
    <row r="20" ht="18" customHeight="1" spans="1:8" x14ac:dyDescent="0.25">
      <c r="A20" s="16">
        <f>IF(AND(AND(AND(ISNUMBER(Panel!$B$7),N(Panel!$B$7)&gt;=2,N(Panel!$B$7)&lt;=42),MOD(N(Panel!$B$7),2)=0),25&lt;=Panel!$B$7),25,"")</f>
        <v>25</v>
      </c>
      <c r="B20" s="23" t="str">
        <f>IF($A20="","",IFERROR(IF(INDEX(Panel!$B$10:$B$51,MATCH($A20,Panel!$A$10:$A$51,0))="","",INDEX(Panel!$B$10:$B$51,MATCH($A20,Panel!$A$10:$A$51,0))),""))</f>
        <v/>
      </c>
      <c r="C20" s="25" t="str">
        <f>IF($A20="","",IFERROR(IF(INDEX(Panel!$C$10:$C$51,MATCH($A20,Panel!$A$10:$A$51,0))="","",INDEX(Panel!$C$10:$C$51,MATCH($A20,Panel!$A$10:$A$51,0))),""))</f>
        <v/>
      </c>
      <c r="D20" s="25" t="str">
        <f>IF($A20="","",IFERROR(IF(INDEX(Panel!$D$10:$D$51,MATCH($A20,Panel!$A$10:$A$51,0))="","",INDEX(Panel!$D$10:$D$51,MATCH($A20,Panel!$A$10:$A$51,0))),""))</f>
        <v/>
      </c>
      <c r="E20" s="16">
        <f>IF(AND(AND(AND(ISNUMBER(Panel!$B$7),N(Panel!$B$7)&gt;=2,N(Panel!$B$7)&lt;=42),MOD(N(Panel!$B$7),2)=0),26&lt;=Panel!$B$7),26,"")</f>
        <v>26</v>
      </c>
      <c r="F20" s="23" t="str">
        <f>IF($E20="","",IFERROR(IF(INDEX(Panel!$B$10:$B$51,MATCH($E20,Panel!$A$10:$A$51,0))="","",INDEX(Panel!$B$10:$B$51,MATCH($E20,Panel!$A$10:$A$51,0))),""))</f>
        <v/>
      </c>
      <c r="G20" s="25" t="str">
        <f>IF($E20="","",IFERROR(IF(INDEX(Panel!$C$10:$C$51,MATCH($E20,Panel!$A$10:$A$51,0))="","",INDEX(Panel!$C$10:$C$51,MATCH($E20,Panel!$A$10:$A$51,0))),""))</f>
        <v/>
      </c>
      <c r="H20" s="25" t="str">
        <f>IF($E20="","",IFERROR(IF(INDEX(Panel!$D$10:$D$51,MATCH($E20,Panel!$A$10:$A$51,0))="","",INDEX(Panel!$D$10:$D$51,MATCH($E20,Panel!$A$10:$A$51,0))),""))</f>
        <v/>
      </c>
    </row>
    <row r="21" ht="18" customHeight="1" spans="1:8" x14ac:dyDescent="0.25">
      <c r="A21" s="16">
        <f>IF(AND(AND(AND(ISNUMBER(Panel!$B$7),N(Panel!$B$7)&gt;=2,N(Panel!$B$7)&lt;=42),MOD(N(Panel!$B$7),2)=0),27&lt;=Panel!$B$7),27,"")</f>
        <v>27</v>
      </c>
      <c r="B21" s="23" t="str">
        <f>IF($A21="","",IFERROR(IF(INDEX(Panel!$B$10:$B$51,MATCH($A21,Panel!$A$10:$A$51,0))="","",INDEX(Panel!$B$10:$B$51,MATCH($A21,Panel!$A$10:$A$51,0))),""))</f>
        <v/>
      </c>
      <c r="C21" s="25" t="str">
        <f>IF($A21="","",IFERROR(IF(INDEX(Panel!$C$10:$C$51,MATCH($A21,Panel!$A$10:$A$51,0))="","",INDEX(Panel!$C$10:$C$51,MATCH($A21,Panel!$A$10:$A$51,0))),""))</f>
        <v/>
      </c>
      <c r="D21" s="25" t="str">
        <f>IF($A21="","",IFERROR(IF(INDEX(Panel!$D$10:$D$51,MATCH($A21,Panel!$A$10:$A$51,0))="","",INDEX(Panel!$D$10:$D$51,MATCH($A21,Panel!$A$10:$A$51,0))),""))</f>
        <v/>
      </c>
      <c r="E21" s="16">
        <f>IF(AND(AND(AND(ISNUMBER(Panel!$B$7),N(Panel!$B$7)&gt;=2,N(Panel!$B$7)&lt;=42),MOD(N(Panel!$B$7),2)=0),28&lt;=Panel!$B$7),28,"")</f>
        <v>28</v>
      </c>
      <c r="F21" s="23" t="str">
        <f>IF($E21="","",IFERROR(IF(INDEX(Panel!$B$10:$B$51,MATCH($E21,Panel!$A$10:$A$51,0))="","",INDEX(Panel!$B$10:$B$51,MATCH($E21,Panel!$A$10:$A$51,0))),""))</f>
        <v/>
      </c>
      <c r="G21" s="25" t="str">
        <f>IF($E21="","",IFERROR(IF(INDEX(Panel!$C$10:$C$51,MATCH($E21,Panel!$A$10:$A$51,0))="","",INDEX(Panel!$C$10:$C$51,MATCH($E21,Panel!$A$10:$A$51,0))),""))</f>
        <v/>
      </c>
      <c r="H21" s="25" t="str">
        <f>IF($E21="","",IFERROR(IF(INDEX(Panel!$D$10:$D$51,MATCH($E21,Panel!$A$10:$A$51,0))="","",INDEX(Panel!$D$10:$D$51,MATCH($E21,Panel!$A$10:$A$51,0))),""))</f>
        <v/>
      </c>
    </row>
    <row r="22" ht="18" customHeight="1" spans="1:8" x14ac:dyDescent="0.25">
      <c r="A22" s="16">
        <f>IF(AND(AND(AND(ISNUMBER(Panel!$B$7),N(Panel!$B$7)&gt;=2,N(Panel!$B$7)&lt;=42),MOD(N(Panel!$B$7),2)=0),29&lt;=Panel!$B$7),29,"")</f>
        <v>29</v>
      </c>
      <c r="B22" s="23" t="str">
        <f>IF($A22="","",IFERROR(IF(INDEX(Panel!$B$10:$B$51,MATCH($A22,Panel!$A$10:$A$51,0))="","",INDEX(Panel!$B$10:$B$51,MATCH($A22,Panel!$A$10:$A$51,0))),""))</f>
        <v/>
      </c>
      <c r="C22" s="25" t="str">
        <f>IF($A22="","",IFERROR(IF(INDEX(Panel!$C$10:$C$51,MATCH($A22,Panel!$A$10:$A$51,0))="","",INDEX(Panel!$C$10:$C$51,MATCH($A22,Panel!$A$10:$A$51,0))),""))</f>
        <v/>
      </c>
      <c r="D22" s="25" t="str">
        <f>IF($A22="","",IFERROR(IF(INDEX(Panel!$D$10:$D$51,MATCH($A22,Panel!$A$10:$A$51,0))="","",INDEX(Panel!$D$10:$D$51,MATCH($A22,Panel!$A$10:$A$51,0))),""))</f>
        <v/>
      </c>
      <c r="E22" s="16">
        <f>IF(AND(AND(AND(ISNUMBER(Panel!$B$7),N(Panel!$B$7)&gt;=2,N(Panel!$B$7)&lt;=42),MOD(N(Panel!$B$7),2)=0),30&lt;=Panel!$B$7),30,"")</f>
        <v>30</v>
      </c>
      <c r="F22" s="23" t="str">
        <f>IF($E22="","",IFERROR(IF(INDEX(Panel!$B$10:$B$51,MATCH($E22,Panel!$A$10:$A$51,0))="","",INDEX(Panel!$B$10:$B$51,MATCH($E22,Panel!$A$10:$A$51,0))),""))</f>
        <v/>
      </c>
      <c r="G22" s="25" t="str">
        <f>IF($E22="","",IFERROR(IF(INDEX(Panel!$C$10:$C$51,MATCH($E22,Panel!$A$10:$A$51,0))="","",INDEX(Panel!$C$10:$C$51,MATCH($E22,Panel!$A$10:$A$51,0))),""))</f>
        <v/>
      </c>
      <c r="H22" s="25" t="str">
        <f>IF($E22="","",IFERROR(IF(INDEX(Panel!$D$10:$D$51,MATCH($E22,Panel!$A$10:$A$51,0))="","",INDEX(Panel!$D$10:$D$51,MATCH($E22,Panel!$A$10:$A$51,0))),""))</f>
        <v/>
      </c>
    </row>
    <row r="23" ht="18" customHeight="1" spans="1:8" x14ac:dyDescent="0.25">
      <c r="A23" s="16" t="str">
        <f>IF(AND(AND(AND(ISNUMBER(Panel!$B$7),N(Panel!$B$7)&gt;=2,N(Panel!$B$7)&lt;=42),MOD(N(Panel!$B$7),2)=0),31&lt;=Panel!$B$7),31,"")</f>
        <v/>
      </c>
      <c r="B23" s="23" t="str">
        <f>IF($A23="","",IFERROR(IF(INDEX(Panel!$B$10:$B$51,MATCH($A23,Panel!$A$10:$A$51,0))="","",INDEX(Panel!$B$10:$B$51,MATCH($A23,Panel!$A$10:$A$51,0))),""))</f>
        <v/>
      </c>
      <c r="C23" s="25" t="str">
        <f>IF($A23="","",IFERROR(IF(INDEX(Panel!$C$10:$C$51,MATCH($A23,Panel!$A$10:$A$51,0))="","",INDEX(Panel!$C$10:$C$51,MATCH($A23,Panel!$A$10:$A$51,0))),""))</f>
        <v/>
      </c>
      <c r="D23" s="25" t="str">
        <f>IF($A23="","",IFERROR(IF(INDEX(Panel!$D$10:$D$51,MATCH($A23,Panel!$A$10:$A$51,0))="","",INDEX(Panel!$D$10:$D$51,MATCH($A23,Panel!$A$10:$A$51,0))),""))</f>
        <v/>
      </c>
      <c r="E23" s="16" t="str">
        <f>IF(AND(AND(AND(ISNUMBER(Panel!$B$7),N(Panel!$B$7)&gt;=2,N(Panel!$B$7)&lt;=42),MOD(N(Panel!$B$7),2)=0),32&lt;=Panel!$B$7),32,"")</f>
        <v/>
      </c>
      <c r="F23" s="23" t="str">
        <f>IF($E23="","",IFERROR(IF(INDEX(Panel!$B$10:$B$51,MATCH($E23,Panel!$A$10:$A$51,0))="","",INDEX(Panel!$B$10:$B$51,MATCH($E23,Panel!$A$10:$A$51,0))),""))</f>
        <v/>
      </c>
      <c r="G23" s="25" t="str">
        <f>IF($E23="","",IFERROR(IF(INDEX(Panel!$C$10:$C$51,MATCH($E23,Panel!$A$10:$A$51,0))="","",INDEX(Panel!$C$10:$C$51,MATCH($E23,Panel!$A$10:$A$51,0))),""))</f>
        <v/>
      </c>
      <c r="H23" s="25" t="str">
        <f>IF($E23="","",IFERROR(IF(INDEX(Panel!$D$10:$D$51,MATCH($E23,Panel!$A$10:$A$51,0))="","",INDEX(Panel!$D$10:$D$51,MATCH($E23,Panel!$A$10:$A$51,0))),""))</f>
        <v/>
      </c>
    </row>
    <row r="24" ht="18" customHeight="1" spans="1:8" x14ac:dyDescent="0.25">
      <c r="A24" s="16" t="str">
        <f>IF(AND(AND(AND(ISNUMBER(Panel!$B$7),N(Panel!$B$7)&gt;=2,N(Panel!$B$7)&lt;=42),MOD(N(Panel!$B$7),2)=0),33&lt;=Panel!$B$7),33,"")</f>
        <v/>
      </c>
      <c r="B24" s="23" t="str">
        <f>IF($A24="","",IFERROR(IF(INDEX(Panel!$B$10:$B$51,MATCH($A24,Panel!$A$10:$A$51,0))="","",INDEX(Panel!$B$10:$B$51,MATCH($A24,Panel!$A$10:$A$51,0))),""))</f>
        <v/>
      </c>
      <c r="C24" s="25" t="str">
        <f>IF($A24="","",IFERROR(IF(INDEX(Panel!$C$10:$C$51,MATCH($A24,Panel!$A$10:$A$51,0))="","",INDEX(Panel!$C$10:$C$51,MATCH($A24,Panel!$A$10:$A$51,0))),""))</f>
        <v/>
      </c>
      <c r="D24" s="25" t="str">
        <f>IF($A24="","",IFERROR(IF(INDEX(Panel!$D$10:$D$51,MATCH($A24,Panel!$A$10:$A$51,0))="","",INDEX(Panel!$D$10:$D$51,MATCH($A24,Panel!$A$10:$A$51,0))),""))</f>
        <v/>
      </c>
      <c r="E24" s="16" t="str">
        <f>IF(AND(AND(AND(ISNUMBER(Panel!$B$7),N(Panel!$B$7)&gt;=2,N(Panel!$B$7)&lt;=42),MOD(N(Panel!$B$7),2)=0),34&lt;=Panel!$B$7),34,"")</f>
        <v/>
      </c>
      <c r="F24" s="23" t="str">
        <f>IF($E24="","",IFERROR(IF(INDEX(Panel!$B$10:$B$51,MATCH($E24,Panel!$A$10:$A$51,0))="","",INDEX(Panel!$B$10:$B$51,MATCH($E24,Panel!$A$10:$A$51,0))),""))</f>
        <v/>
      </c>
      <c r="G24" s="25" t="str">
        <f>IF($E24="","",IFERROR(IF(INDEX(Panel!$C$10:$C$51,MATCH($E24,Panel!$A$10:$A$51,0))="","",INDEX(Panel!$C$10:$C$51,MATCH($E24,Panel!$A$10:$A$51,0))),""))</f>
        <v/>
      </c>
      <c r="H24" s="25" t="str">
        <f>IF($E24="","",IFERROR(IF(INDEX(Panel!$D$10:$D$51,MATCH($E24,Panel!$A$10:$A$51,0))="","",INDEX(Panel!$D$10:$D$51,MATCH($E24,Panel!$A$10:$A$51,0))),""))</f>
        <v/>
      </c>
    </row>
    <row r="25" ht="18" customHeight="1" spans="1:8" x14ac:dyDescent="0.25">
      <c r="A25" s="16" t="str">
        <f>IF(AND(AND(AND(ISNUMBER(Panel!$B$7),N(Panel!$B$7)&gt;=2,N(Panel!$B$7)&lt;=42),MOD(N(Panel!$B$7),2)=0),35&lt;=Panel!$B$7),35,"")</f>
        <v/>
      </c>
      <c r="B25" s="23" t="str">
        <f>IF($A25="","",IFERROR(IF(INDEX(Panel!$B$10:$B$51,MATCH($A25,Panel!$A$10:$A$51,0))="","",INDEX(Panel!$B$10:$B$51,MATCH($A25,Panel!$A$10:$A$51,0))),""))</f>
        <v/>
      </c>
      <c r="C25" s="25" t="str">
        <f>IF($A25="","",IFERROR(IF(INDEX(Panel!$C$10:$C$51,MATCH($A25,Panel!$A$10:$A$51,0))="","",INDEX(Panel!$C$10:$C$51,MATCH($A25,Panel!$A$10:$A$51,0))),""))</f>
        <v/>
      </c>
      <c r="D25" s="25" t="str">
        <f>IF($A25="","",IFERROR(IF(INDEX(Panel!$D$10:$D$51,MATCH($A25,Panel!$A$10:$A$51,0))="","",INDEX(Panel!$D$10:$D$51,MATCH($A25,Panel!$A$10:$A$51,0))),""))</f>
        <v/>
      </c>
      <c r="E25" s="16" t="str">
        <f>IF(AND(AND(AND(ISNUMBER(Panel!$B$7),N(Panel!$B$7)&gt;=2,N(Panel!$B$7)&lt;=42),MOD(N(Panel!$B$7),2)=0),36&lt;=Panel!$B$7),36,"")</f>
        <v/>
      </c>
      <c r="F25" s="23" t="str">
        <f>IF($E25="","",IFERROR(IF(INDEX(Panel!$B$10:$B$51,MATCH($E25,Panel!$A$10:$A$51,0))="","",INDEX(Panel!$B$10:$B$51,MATCH($E25,Panel!$A$10:$A$51,0))),""))</f>
        <v/>
      </c>
      <c r="G25" s="25" t="str">
        <f>IF($E25="","",IFERROR(IF(INDEX(Panel!$C$10:$C$51,MATCH($E25,Panel!$A$10:$A$51,0))="","",INDEX(Panel!$C$10:$C$51,MATCH($E25,Panel!$A$10:$A$51,0))),""))</f>
        <v/>
      </c>
      <c r="H25" s="25" t="str">
        <f>IF($E25="","",IFERROR(IF(INDEX(Panel!$D$10:$D$51,MATCH($E25,Panel!$A$10:$A$51,0))="","",INDEX(Panel!$D$10:$D$51,MATCH($E25,Panel!$A$10:$A$51,0))),""))</f>
        <v/>
      </c>
    </row>
    <row r="26" ht="18" customHeight="1" spans="1:8" x14ac:dyDescent="0.25">
      <c r="A26" s="16" t="str">
        <f>IF(AND(AND(AND(ISNUMBER(Panel!$B$7),N(Panel!$B$7)&gt;=2,N(Panel!$B$7)&lt;=42),MOD(N(Panel!$B$7),2)=0),37&lt;=Panel!$B$7),37,"")</f>
        <v/>
      </c>
      <c r="B26" s="23" t="str">
        <f>IF($A26="","",IFERROR(IF(INDEX(Panel!$B$10:$B$51,MATCH($A26,Panel!$A$10:$A$51,0))="","",INDEX(Panel!$B$10:$B$51,MATCH($A26,Panel!$A$10:$A$51,0))),""))</f>
        <v/>
      </c>
      <c r="C26" s="25" t="str">
        <f>IF($A26="","",IFERROR(IF(INDEX(Panel!$C$10:$C$51,MATCH($A26,Panel!$A$10:$A$51,0))="","",INDEX(Panel!$C$10:$C$51,MATCH($A26,Panel!$A$10:$A$51,0))),""))</f>
        <v/>
      </c>
      <c r="D26" s="25" t="str">
        <f>IF($A26="","",IFERROR(IF(INDEX(Panel!$D$10:$D$51,MATCH($A26,Panel!$A$10:$A$51,0))="","",INDEX(Panel!$D$10:$D$51,MATCH($A26,Panel!$A$10:$A$51,0))),""))</f>
        <v/>
      </c>
      <c r="E26" s="16" t="str">
        <f>IF(AND(AND(AND(ISNUMBER(Panel!$B$7),N(Panel!$B$7)&gt;=2,N(Panel!$B$7)&lt;=42),MOD(N(Panel!$B$7),2)=0),38&lt;=Panel!$B$7),38,"")</f>
        <v/>
      </c>
      <c r="F26" s="23" t="str">
        <f>IF($E26="","",IFERROR(IF(INDEX(Panel!$B$10:$B$51,MATCH($E26,Panel!$A$10:$A$51,0))="","",INDEX(Panel!$B$10:$B$51,MATCH($E26,Panel!$A$10:$A$51,0))),""))</f>
        <v/>
      </c>
      <c r="G26" s="25" t="str">
        <f>IF($E26="","",IFERROR(IF(INDEX(Panel!$C$10:$C$51,MATCH($E26,Panel!$A$10:$A$51,0))="","",INDEX(Panel!$C$10:$C$51,MATCH($E26,Panel!$A$10:$A$51,0))),""))</f>
        <v/>
      </c>
      <c r="H26" s="25" t="str">
        <f>IF($E26="","",IFERROR(IF(INDEX(Panel!$D$10:$D$51,MATCH($E26,Panel!$A$10:$A$51,0))="","",INDEX(Panel!$D$10:$D$51,MATCH($E26,Panel!$A$10:$A$51,0))),""))</f>
        <v/>
      </c>
    </row>
    <row r="27" ht="18" customHeight="1" spans="1:8" x14ac:dyDescent="0.25">
      <c r="A27" s="16" t="str">
        <f>IF(AND(AND(AND(ISNUMBER(Panel!$B$7),N(Panel!$B$7)&gt;=2,N(Panel!$B$7)&lt;=42),MOD(N(Panel!$B$7),2)=0),39&lt;=Panel!$B$7),39,"")</f>
        <v/>
      </c>
      <c r="B27" s="23" t="str">
        <f>IF($A27="","",IFERROR(IF(INDEX(Panel!$B$10:$B$51,MATCH($A27,Panel!$A$10:$A$51,0))="","",INDEX(Panel!$B$10:$B$51,MATCH($A27,Panel!$A$10:$A$51,0))),""))</f>
        <v/>
      </c>
      <c r="C27" s="25" t="str">
        <f>IF($A27="","",IFERROR(IF(INDEX(Panel!$C$10:$C$51,MATCH($A27,Panel!$A$10:$A$51,0))="","",INDEX(Panel!$C$10:$C$51,MATCH($A27,Panel!$A$10:$A$51,0))),""))</f>
        <v/>
      </c>
      <c r="D27" s="25" t="str">
        <f>IF($A27="","",IFERROR(IF(INDEX(Panel!$D$10:$D$51,MATCH($A27,Panel!$A$10:$A$51,0))="","",INDEX(Panel!$D$10:$D$51,MATCH($A27,Panel!$A$10:$A$51,0))),""))</f>
        <v/>
      </c>
      <c r="E27" s="16" t="str">
        <f>IF(AND(AND(AND(ISNUMBER(Panel!$B$7),N(Panel!$B$7)&gt;=2,N(Panel!$B$7)&lt;=42),MOD(N(Panel!$B$7),2)=0),40&lt;=Panel!$B$7),40,"")</f>
        <v/>
      </c>
      <c r="F27" s="23" t="str">
        <f>IF($E27="","",IFERROR(IF(INDEX(Panel!$B$10:$B$51,MATCH($E27,Panel!$A$10:$A$51,0))="","",INDEX(Panel!$B$10:$B$51,MATCH($E27,Panel!$A$10:$A$51,0))),""))</f>
        <v/>
      </c>
      <c r="G27" s="25" t="str">
        <f>IF($E27="","",IFERROR(IF(INDEX(Panel!$C$10:$C$51,MATCH($E27,Panel!$A$10:$A$51,0))="","",INDEX(Panel!$C$10:$C$51,MATCH($E27,Panel!$A$10:$A$51,0))),""))</f>
        <v/>
      </c>
      <c r="H27" s="25" t="str">
        <f>IF($E27="","",IFERROR(IF(INDEX(Panel!$D$10:$D$51,MATCH($E27,Panel!$A$10:$A$51,0))="","",INDEX(Panel!$D$10:$D$51,MATCH($E27,Panel!$A$10:$A$51,0))),""))</f>
        <v/>
      </c>
    </row>
    <row r="28" ht="18" customHeight="1" spans="1:8" x14ac:dyDescent="0.25">
      <c r="A28" s="16" t="str">
        <f>IF(AND(AND(AND(ISNUMBER(Panel!$B$7),N(Panel!$B$7)&gt;=2,N(Panel!$B$7)&lt;=42),MOD(N(Panel!$B$7),2)=0),41&lt;=Panel!$B$7),41,"")</f>
        <v/>
      </c>
      <c r="B28" s="23" t="str">
        <f>IF($A28="","",IFERROR(IF(INDEX(Panel!$B$10:$B$51,MATCH($A28,Panel!$A$10:$A$51,0))="","",INDEX(Panel!$B$10:$B$51,MATCH($A28,Panel!$A$10:$A$51,0))),""))</f>
        <v/>
      </c>
      <c r="C28" s="25" t="str">
        <f>IF($A28="","",IFERROR(IF(INDEX(Panel!$C$10:$C$51,MATCH($A28,Panel!$A$10:$A$51,0))="","",INDEX(Panel!$C$10:$C$51,MATCH($A28,Panel!$A$10:$A$51,0))),""))</f>
        <v/>
      </c>
      <c r="D28" s="25" t="str">
        <f>IF($A28="","",IFERROR(IF(INDEX(Panel!$D$10:$D$51,MATCH($A28,Panel!$A$10:$A$51,0))="","",INDEX(Panel!$D$10:$D$51,MATCH($A28,Panel!$A$10:$A$51,0))),""))</f>
        <v/>
      </c>
      <c r="E28" s="16" t="str">
        <f>IF(AND(AND(AND(ISNUMBER(Panel!$B$7),N(Panel!$B$7)&gt;=2,N(Panel!$B$7)&lt;=42),MOD(N(Panel!$B$7),2)=0),42&lt;=Panel!$B$7),42,"")</f>
        <v/>
      </c>
      <c r="F28" s="23" t="str">
        <f>IF($E28="","",IFERROR(IF(INDEX(Panel!$B$10:$B$51,MATCH($E28,Panel!$A$10:$A$51,0))="","",INDEX(Panel!$B$10:$B$51,MATCH($E28,Panel!$A$10:$A$51,0))),""))</f>
        <v/>
      </c>
      <c r="G28" s="25" t="str">
        <f>IF($E28="","",IFERROR(IF(INDEX(Panel!$C$10:$C$51,MATCH($E28,Panel!$A$10:$A$51,0))="","",INDEX(Panel!$C$10:$C$51,MATCH($E28,Panel!$A$10:$A$51,0))),""))</f>
        <v/>
      </c>
      <c r="H28" s="25" t="str">
        <f>IF($E28="","",IFERROR(IF(INDEX(Panel!$D$10:$D$51,MATCH($E28,Panel!$A$10:$A$51,0))="","",INDEX(Panel!$D$10:$D$51,MATCH($E28,Panel!$A$10:$A$51,0))),""))</f>
        <v/>
      </c>
    </row>
  </sheetData>
  <mergeCells count="7">
    <mergeCell ref="A1:H1"/>
    <mergeCell ref="B2:D2"/>
    <mergeCell ref="F2:H2"/>
    <mergeCell ref="B3:D3"/>
    <mergeCell ref="F3:H3"/>
    <mergeCell ref="B4:D4"/>
    <mergeCell ref="F4:H4"/>
  </mergeCells>
  <dataValidations count="1">
    <dataValidation type="decimal" allowBlank="1" showErrorMessage="1" errorTitle="Invalid date" error="Enter a number between 18264 and 73050" sqref="B5">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owGridLines="0"/>
  </sheetViews>
  <sheetFormatPr defaultRowHeight="15" outlineLevelRow="0" outlineLevelCol="0" x14ac:dyDescent="55"/>
  <cols>
    <col min="1" max="1" width="34" customWidth="1"/>
    <col min="2" max="2" width="14" customWidth="1"/>
    <col min="3" max="4" width="16" customWidth="1"/>
    <col min="5" max="5" width="18" customWidth="1"/>
    <col min="6" max="6" width="22" customWidth="1"/>
  </cols>
  <sheetData>
    <row r="1" spans="1:6" x14ac:dyDescent="0.25">
      <c r="A1" s="1" t="s">
        <v>0</v>
      </c>
      <c r="B1" s="1"/>
      <c r="C1" s="1"/>
      <c r="D1" s="1"/>
      <c r="E1" s="1"/>
      <c r="F1" s="1"/>
    </row>
    <row r="2" spans="1:6" x14ac:dyDescent="0.25">
      <c r="A2" s="26" t="s">
        <v>80</v>
      </c>
      <c r="B2" s="26"/>
      <c r="C2" s="26"/>
      <c r="D2" s="26"/>
      <c r="E2" s="26"/>
      <c r="F2" s="26"/>
    </row>
    <row r="3" spans="1:6" x14ac:dyDescent="0.25">
      <c r="A3" s="2"/>
      <c r="F3" s="2"/>
    </row>
    <row r="4" ht="30" customHeight="1" spans="1:6" x14ac:dyDescent="0.25">
      <c r="A4" s="15" t="s">
        <v>81</v>
      </c>
      <c r="B4" s="15" t="s">
        <v>82</v>
      </c>
      <c r="C4" s="15" t="s">
        <v>83</v>
      </c>
      <c r="D4" s="15"/>
      <c r="E4" s="15"/>
      <c r="F4" s="15"/>
    </row>
    <row r="5" ht="30" customHeight="1" spans="1:6" x14ac:dyDescent="0.25">
      <c r="A5" s="27" t="s">
        <v>84</v>
      </c>
      <c r="B5" s="28">
        <f>IF(B16&gt;0,"Check data",SUM(Panel!$E$10:$E$51))</f>
        <v>26200</v>
      </c>
      <c r="C5" s="7" t="s">
        <v>85</v>
      </c>
      <c r="D5" s="7"/>
      <c r="E5" s="7"/>
      <c r="F5" s="7"/>
    </row>
    <row r="6" ht="30" customHeight="1" spans="1:6" x14ac:dyDescent="0.25">
      <c r="A6" s="27" t="s">
        <v>86</v>
      </c>
      <c r="B6" s="28">
        <f>IF(B16&gt;0,"Check data",SUMPRODUCT(--(Panel!$F$10:$F$51="A"),Panel!$E$10:$E$51))</f>
        <v>8390</v>
      </c>
      <c r="C6" s="7" t="s">
        <v>87</v>
      </c>
      <c r="D6" s="7"/>
      <c r="E6" s="7"/>
      <c r="F6" s="7"/>
    </row>
    <row r="7" ht="30" customHeight="1" spans="1:6" x14ac:dyDescent="0.25">
      <c r="A7" s="27" t="s">
        <v>88</v>
      </c>
      <c r="B7" s="28">
        <f>IF(B16&gt;0,"Check data",SUMPRODUCT(--(Panel!$F$10:$F$51="B"),Panel!$E$10:$E$51))</f>
        <v>9500</v>
      </c>
      <c r="C7" s="7" t="s">
        <v>89</v>
      </c>
      <c r="D7" s="7"/>
      <c r="E7" s="7"/>
      <c r="F7" s="7"/>
    </row>
    <row r="8" ht="30" customHeight="1" spans="1:6" x14ac:dyDescent="0.25">
      <c r="A8" s="27" t="s">
        <v>90</v>
      </c>
      <c r="B8" s="28">
        <f>IF(B16&gt;0,"Check data",SUMPRODUCT(--(Panel!$F$10:$F$51="C"),Panel!$E$10:$E$51))</f>
        <v>8310</v>
      </c>
      <c r="C8" s="7" t="s">
        <v>91</v>
      </c>
      <c r="D8" s="7"/>
      <c r="E8" s="7"/>
      <c r="F8" s="7"/>
    </row>
    <row r="9" ht="30" customHeight="1" spans="1:6" x14ac:dyDescent="0.25">
      <c r="A9" s="27" t="s">
        <v>92</v>
      </c>
      <c r="B9" s="29">
        <f>IF(B16&gt;0,"Check data",IF(Panel!$B$4=0,"n/a",MAX(B6:B8)/Panel!$B$4))</f>
        <v>79.1666666666667</v>
      </c>
      <c r="C9" s="7" t="s">
        <v>93</v>
      </c>
      <c r="D9" s="7"/>
      <c r="E9" s="7"/>
      <c r="F9" s="7"/>
    </row>
    <row r="10" ht="30" customHeight="1" spans="1:6" x14ac:dyDescent="0.25">
      <c r="A10" s="27" t="s">
        <v>94</v>
      </c>
      <c r="B10" s="30">
        <f>IF(B16&gt;0,"Check data",IF((B6+B7+B8)/3=0,"n/a",MAX(ABS(B6-(B6+B7+B8)/3),ABS(B7-(B6+B7+B8)/3),ABS(B8-(B6+B7+B8)/3))/((B6+B7+B8)/3)))</f>
        <v>0.0877862595419847</v>
      </c>
      <c r="C10" s="7" t="s">
        <v>95</v>
      </c>
      <c r="D10" s="7"/>
      <c r="E10" s="7"/>
      <c r="F10" s="7"/>
    </row>
    <row r="11" ht="30" customHeight="1" spans="1:6" x14ac:dyDescent="0.25">
      <c r="A11" s="27" t="s">
        <v>96</v>
      </c>
      <c r="B11" s="29">
        <f>IF(B16&gt;0,"Check data",IF(Panel!$B$4=0,"n/a",(B6+B7+B8)/3/Panel!$B$4))</f>
        <v>72.7777777777778</v>
      </c>
      <c r="C11" s="7" t="s">
        <v>97</v>
      </c>
      <c r="D11" s="7"/>
      <c r="E11" s="7"/>
      <c r="F11" s="7"/>
    </row>
    <row r="12" ht="30" customHeight="1" spans="1:6" x14ac:dyDescent="0.25">
      <c r="A12" s="27" t="s">
        <v>98</v>
      </c>
      <c r="B12" s="30">
        <f>IF(B16&gt;0,"Check data",IF(B5=0,"n/a",MAX(B6:B8)/B5))</f>
        <v>0.362595419847328</v>
      </c>
      <c r="C12" s="7" t="s">
        <v>99</v>
      </c>
      <c r="D12" s="7"/>
      <c r="E12" s="7"/>
      <c r="F12" s="7"/>
    </row>
    <row r="13" ht="30" customHeight="1" spans="1:6" x14ac:dyDescent="0.25">
      <c r="A13" s="27" t="s">
        <v>100</v>
      </c>
      <c r="B13" s="28">
        <f>IF(B16&gt;0,"Check data",COUNTIF(Panel!$E$10:$E$51,"&gt;0"))</f>
        <v>16</v>
      </c>
      <c r="C13" s="7" t="s">
        <v>101</v>
      </c>
      <c r="D13" s="7"/>
      <c r="E13" s="7"/>
      <c r="F13" s="7"/>
    </row>
    <row r="14" ht="30" customHeight="1" spans="1:6" x14ac:dyDescent="0.25">
      <c r="A14" s="27" t="s">
        <v>102</v>
      </c>
      <c r="B14" s="28">
        <f>IF(B16&gt;0,"Check data",SUMPRODUCT((Panel!$C$10:$C$51&lt;&gt;"")*(1-ISNUMBER(Panel!$E$10:$E$51)*(N(+Panel!$E$10:$E$51)&gt;0))))</f>
        <v>2</v>
      </c>
      <c r="C14" s="7" t="s">
        <v>103</v>
      </c>
      <c r="D14" s="7"/>
      <c r="E14" s="7"/>
      <c r="F14" s="7"/>
    </row>
    <row r="15" ht="30" customHeight="1" spans="1:6" x14ac:dyDescent="0.25">
      <c r="A15" s="27" t="s">
        <v>104</v>
      </c>
      <c r="B15" s="28">
        <f>IF(B16&gt;0,"Check data",Panel!$B$7-SUMPRODUCT(--((Panel!$B$10:$B$51&lt;&gt;"")+(Panel!$C$10:$C$51&lt;&gt;"")+(Panel!$D$10:$D$51&lt;&gt;"")+(Panel!$E$10:$E$51&lt;&gt;"")&gt;0)))</f>
        <v>12</v>
      </c>
      <c r="C15" s="7" t="s">
        <v>105</v>
      </c>
      <c r="D15" s="7"/>
      <c r="E15" s="7"/>
      <c r="F15" s="7"/>
    </row>
    <row r="16" ht="30" customHeight="1" spans="1:6" x14ac:dyDescent="0.25">
      <c r="A16" s="27" t="s">
        <v>106</v>
      </c>
      <c r="B16" s="28">
        <f>COUNTIF(Panel!$H$10:$H$51,"Check ID")+COUNTIF(Panel!$H$10:$H$51,"Beyond spaces")+COUNTIF(Panel!$H$10:$H$51,"Check inputs")+COUNTIF(Panel!$H$10:$H$51,"Check poles")+IF(AND(ISNUMBER(Panel!$B$4),N(Panel!$B$4)&gt;=1,N(Panel!$B$4)&lt;=1000),0,1)+IF(AND(ISNUMBER(Panel!$B$5),N(Panel!$B$5)&gt;=1,N(Panel!$B$5)&lt;=1000),0,1)+IF(AND(ISNUMBER(Panel!$B$6),N(Panel!$B$6)&gt;=0,N(Panel!$B$6)&lt;=5000),0,1)+IF(AND(AND(ISNUMBER(Panel!$B$7),N(Panel!$B$7)&gt;=2,N(Panel!$B$7)&lt;=42),MOD(N(Panel!$B$7),2)=0),0,1)</f>
        <v>0</v>
      </c>
      <c r="C16" s="7" t="s">
        <v>107</v>
      </c>
      <c r="D16" s="7"/>
      <c r="E16" s="7"/>
      <c r="F16" s="7"/>
    </row>
    <row r="17" ht="30" customHeight="1" spans="1:6" x14ac:dyDescent="0.25">
      <c r="A17" s="27" t="s">
        <v>108</v>
      </c>
      <c r="B17" s="31" t="str">
        <f>IF(B16&gt;0,"Check data","OK")</f>
        <v>OK</v>
      </c>
      <c r="C17" s="7" t="s">
        <v>109</v>
      </c>
      <c r="D17" s="7"/>
      <c r="E17" s="7"/>
      <c r="F17" s="7"/>
    </row>
    <row r="18" spans="1:6" x14ac:dyDescent="0.25">
      <c r="A18" s="2"/>
      <c r="F18" s="2"/>
    </row>
    <row r="19" ht="30" customHeight="1" spans="1:6" x14ac:dyDescent="0.25">
      <c r="A19" s="15" t="s">
        <v>54</v>
      </c>
      <c r="B19" s="15" t="s">
        <v>110</v>
      </c>
      <c r="C19" s="15" t="s">
        <v>111</v>
      </c>
      <c r="D19" s="15" t="s">
        <v>112</v>
      </c>
      <c r="F19" s="2"/>
    </row>
    <row r="20" ht="20" customHeight="1" spans="1:6" x14ac:dyDescent="0.25">
      <c r="A20" s="5" t="s">
        <v>113</v>
      </c>
      <c r="B20" s="32">
        <f>IF(B16&gt;0,"Check data",B6)</f>
        <v>8390</v>
      </c>
      <c r="C20" s="33">
        <f>IF(B16&gt;0,"Check data",IF(Panel!$B$4=0,"n/a",B6/Panel!$B$4))</f>
        <v>69.9166666666667</v>
      </c>
      <c r="D20" s="34">
        <f>IF(B16&gt;0,"Check data",IF(B5=0,"n/a",B6/B5))</f>
        <v>0.320229007633588</v>
      </c>
      <c r="F20" s="2"/>
    </row>
    <row r="21" ht="20" customHeight="1" spans="1:6" x14ac:dyDescent="0.25">
      <c r="A21" s="5" t="s">
        <v>114</v>
      </c>
      <c r="B21" s="32">
        <f>IF(B16&gt;0,"Check data",B7)</f>
        <v>9500</v>
      </c>
      <c r="C21" s="33">
        <f>IF(B16&gt;0,"Check data",IF(Panel!$B$4=0,"n/a",B7/Panel!$B$4))</f>
        <v>79.1666666666667</v>
      </c>
      <c r="D21" s="34">
        <f>IF(B16&gt;0,"Check data",IF(B5=0,"n/a",B7/B5))</f>
        <v>0.362595419847328</v>
      </c>
      <c r="F21" s="2"/>
    </row>
    <row r="22" ht="20" customHeight="1" spans="1:6" x14ac:dyDescent="0.25">
      <c r="A22" s="5" t="s">
        <v>115</v>
      </c>
      <c r="B22" s="32">
        <f>IF(B16&gt;0,"Check data",B8)</f>
        <v>8310</v>
      </c>
      <c r="C22" s="33">
        <f>IF(B16&gt;0,"Check data",IF(Panel!$B$4=0,"n/a",B8/Panel!$B$4))</f>
        <v>69.25</v>
      </c>
      <c r="D22" s="34">
        <f>IF(B16&gt;0,"Check data",IF(B5=0,"n/a",B8/B5))</f>
        <v>0.317175572519084</v>
      </c>
      <c r="F22" s="2"/>
    </row>
    <row r="23" spans="1:6" x14ac:dyDescent="0.25">
      <c r="A23" s="2"/>
      <c r="F23" s="2"/>
    </row>
    <row r="24" ht="30" customHeight="1" spans="1:6" x14ac:dyDescent="0.25">
      <c r="A24" s="35" t="s">
        <v>31</v>
      </c>
      <c r="B24" s="35"/>
      <c r="C24" s="35"/>
      <c r="D24" s="35"/>
      <c r="E24" s="35"/>
      <c r="F24" s="35"/>
    </row>
  </sheetData>
  <mergeCells count="17">
    <mergeCell ref="A1:F1"/>
    <mergeCell ref="A2:F2"/>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A24:F24"/>
  </mergeCells>
  <conditionalFormatting sqref="B5">
    <cfRule type="expression" dxfId="8" priority="40">
      <formula>B5="Check data"</formula>
    </cfRule>
  </conditionalFormatting>
  <conditionalFormatting sqref="B6">
    <cfRule type="expression" dxfId="9" priority="41">
      <formula>B6="Check data"</formula>
    </cfRule>
  </conditionalFormatting>
  <conditionalFormatting sqref="B7">
    <cfRule type="expression" dxfId="10" priority="42">
      <formula>B7="Check data"</formula>
    </cfRule>
  </conditionalFormatting>
  <conditionalFormatting sqref="B8">
    <cfRule type="expression" dxfId="11" priority="43">
      <formula>B8="Check data"</formula>
    </cfRule>
  </conditionalFormatting>
  <conditionalFormatting sqref="B9">
    <cfRule type="expression" dxfId="12" priority="44">
      <formula>B9="Check data"</formula>
    </cfRule>
  </conditionalFormatting>
  <conditionalFormatting sqref="B10">
    <cfRule type="expression" dxfId="13" priority="45">
      <formula>B10="Check data"</formula>
    </cfRule>
  </conditionalFormatting>
  <conditionalFormatting sqref="B11">
    <cfRule type="expression" dxfId="14" priority="46">
      <formula>B11="Check data"</formula>
    </cfRule>
  </conditionalFormatting>
  <conditionalFormatting sqref="B12">
    <cfRule type="expression" dxfId="15" priority="47">
      <formula>B12="Check data"</formula>
    </cfRule>
  </conditionalFormatting>
  <conditionalFormatting sqref="B13">
    <cfRule type="expression" dxfId="16" priority="48">
      <formula>B13="Check data"</formula>
    </cfRule>
  </conditionalFormatting>
  <conditionalFormatting sqref="B14">
    <cfRule type="expression" dxfId="17" priority="49">
      <formula>B14="Check data"</formula>
    </cfRule>
  </conditionalFormatting>
  <conditionalFormatting sqref="B15">
    <cfRule type="expression" dxfId="18" priority="50">
      <formula>B15="Check data"</formula>
    </cfRule>
  </conditionalFormatting>
  <conditionalFormatting sqref="B20">
    <cfRule type="expression" dxfId="19" priority="51">
      <formula>B20="Check data"</formula>
    </cfRule>
  </conditionalFormatting>
  <conditionalFormatting sqref="C20">
    <cfRule type="expression" dxfId="20" priority="52">
      <formula>C20="Check data"</formula>
    </cfRule>
  </conditionalFormatting>
  <conditionalFormatting sqref="D20">
    <cfRule type="expression" dxfId="21" priority="53">
      <formula>D20="Check data"</formula>
    </cfRule>
  </conditionalFormatting>
  <conditionalFormatting sqref="B21">
    <cfRule type="expression" dxfId="22" priority="54">
      <formula>B21="Check data"</formula>
    </cfRule>
  </conditionalFormatting>
  <conditionalFormatting sqref="C21">
    <cfRule type="expression" dxfId="23" priority="55">
      <formula>C21="Check data"</formula>
    </cfRule>
  </conditionalFormatting>
  <conditionalFormatting sqref="D21">
    <cfRule type="expression" dxfId="24" priority="56">
      <formula>D21="Check data"</formula>
    </cfRule>
  </conditionalFormatting>
  <conditionalFormatting sqref="B22">
    <cfRule type="expression" dxfId="25" priority="57">
      <formula>B22="Check data"</formula>
    </cfRule>
  </conditionalFormatting>
  <conditionalFormatting sqref="C22">
    <cfRule type="expression" dxfId="26" priority="58">
      <formula>C22="Check data"</formula>
    </cfRule>
  </conditionalFormatting>
  <conditionalFormatting sqref="D22">
    <cfRule type="expression" dxfId="27" priority="59">
      <formula>D22="Check data"</formula>
    </cfRule>
  </conditionalFormatting>
  <conditionalFormatting sqref="B16">
    <cfRule type="expression" dxfId="28" priority="70">
      <formula>B16&gt;0</formula>
    </cfRule>
  </conditionalFormatting>
  <conditionalFormatting sqref="B17">
    <cfRule type="expression" dxfId="29" priority="71">
      <formula>B17="Check data"</formula>
    </cfRule>
    <cfRule type="expression" dxfId="30" priority="72">
      <formula>B17="OK"</formula>
    </cfRule>
  </conditionalFormatting>
  <hyperlinks>
    <hyperlink ref="A24"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Panel</vt:lpstr>
      <vt:lpstr>Directory</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2026-11-04T11:30:41Z</dcterms:created>
  <dcterms:modified xsi:type="dcterms:W3CDTF">2026-11-04T11:30:41Z</dcterms:modified>
</cp:coreProperties>
</file>